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 del terreno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</font>
    <font>
      <b val="1"/>
      <color rgb="001A2B2A"/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1" fontId="0" fillId="2" borderId="0" pivotButton="0" quotePrefix="0" xfId="0"/>
    <xf numFmtId="10" fontId="0" fillId="2" borderId="0" pivotButton="0" quotePrefix="0" xfId="0"/>
    <xf numFmtId="164" fontId="0" fillId="2" borderId="0" pivotButton="0" quotePrefix="0" xfId="0"/>
    <xf numFmtId="4" fontId="4" fillId="0" borderId="0" pivotButton="0" quotePrefix="0" xfId="0"/>
    <xf numFmtId="0" fontId="5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0"/>
  <sheetViews>
    <sheetView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5" customWidth="1" min="9" max="9"/>
    <col width="18" customWidth="1" min="10" max="10"/>
  </cols>
  <sheetData>
    <row r="1">
      <c r="A1" s="1" t="inlineStr">
        <is>
          <t>Calendario de pagos de un terreno a plazos</t>
        </is>
      </c>
    </row>
    <row r="2">
      <c r="A2" s="2" t="inlineStr">
        <is>
          <t>Cambia las celdas grises. Fechas, mensualidades y saldo se calculan solos.</t>
        </is>
      </c>
    </row>
    <row r="4">
      <c r="A4" s="3" t="inlineStr">
        <is>
          <t>Precio del terreno</t>
        </is>
      </c>
      <c r="B4" s="4" t="n">
        <v>350000</v>
      </c>
    </row>
    <row r="5">
      <c r="A5" s="3" t="inlineStr">
        <is>
          <t>Apartado</t>
        </is>
      </c>
      <c r="B5" s="4" t="n">
        <v>5000</v>
      </c>
    </row>
    <row r="6">
      <c r="A6" s="3" t="inlineStr">
        <is>
          <t>Enganche total (el apartado se descuenta de aquí)</t>
        </is>
      </c>
      <c r="B6" s="4" t="n">
        <v>70000</v>
      </c>
    </row>
    <row r="7">
      <c r="A7" s="3" t="inlineStr">
        <is>
          <t>Número de mensualidades (hasta 120)</t>
        </is>
      </c>
      <c r="B7" s="5" t="n">
        <v>36</v>
      </c>
    </row>
    <row r="8">
      <c r="A8" s="3" t="inlineStr">
        <is>
          <t>Tasa de interés anual (0 si es sin intereses)</t>
        </is>
      </c>
      <c r="B8" s="6" t="n">
        <v>0</v>
      </c>
    </row>
    <row r="9">
      <c r="A9" s="3" t="inlineStr">
        <is>
          <t>Fecha del apartado</t>
        </is>
      </c>
      <c r="B9" s="7" t="n">
        <v>46298</v>
      </c>
    </row>
    <row r="10">
      <c r="A10" s="3" t="inlineStr">
        <is>
          <t>Fecha en que se paga el resto del enganche</t>
        </is>
      </c>
      <c r="B10" s="7" t="n">
        <v>46312</v>
      </c>
    </row>
    <row r="11">
      <c r="A11" s="3" t="inlineStr">
        <is>
          <t>Fecha de la primera mensualidad</t>
        </is>
      </c>
      <c r="B11" s="7" t="n">
        <v>46341</v>
      </c>
    </row>
    <row r="12">
      <c r="A12" s="3" t="inlineStr">
        <is>
          <t>Cuota de mantenimiento al mes (0 si no aplica)</t>
        </is>
      </c>
      <c r="B12" s="4" t="n">
        <v>0</v>
      </c>
    </row>
    <row r="14">
      <c r="A14" s="3" t="inlineStr">
        <is>
          <t>Saldo a mensualidades</t>
        </is>
      </c>
      <c r="B14" s="8">
        <f>B4-B6</f>
        <v/>
      </c>
    </row>
    <row r="15">
      <c r="A15" s="3" t="inlineStr">
        <is>
          <t>Mensualidad</t>
        </is>
      </c>
      <c r="B15" s="8">
        <f>IF(B8=0,ROUND(B14/B7,2),ROUND(PMT(B8/12,B7,-B14),2))</f>
        <v/>
      </c>
    </row>
    <row r="16">
      <c r="A16" s="3" t="inlineStr">
        <is>
          <t>Total a pagar por el terreno</t>
        </is>
      </c>
      <c r="B16" s="8">
        <f>B6+B15*(B7-1)+IF(B8=0,B14-B15*(B7-1),B15)</f>
        <v/>
      </c>
    </row>
    <row r="18">
      <c r="A18" s="9" t="inlineStr">
        <is>
          <t>Concepto</t>
        </is>
      </c>
      <c r="B18" s="9" t="inlineStr">
        <is>
          <t>Fecha</t>
        </is>
      </c>
      <c r="C18" s="9" t="inlineStr">
        <is>
          <t>Monto</t>
        </is>
      </c>
      <c r="D18" s="9" t="inlineStr">
        <is>
          <t>Mantenimiento</t>
        </is>
      </c>
      <c r="E18" s="9" t="inlineStr">
        <is>
          <t>Total del pago</t>
        </is>
      </c>
      <c r="F18" s="9" t="inlineStr">
        <is>
          <t>Pagado</t>
        </is>
      </c>
      <c r="G18" s="9" t="inlineStr">
        <is>
          <t>Fecha de pago</t>
        </is>
      </c>
      <c r="H18" s="9" t="inlineStr">
        <is>
          <t>Resta del terreno</t>
        </is>
      </c>
      <c r="I18" s="9" t="inlineStr">
        <is>
          <t>Estado</t>
        </is>
      </c>
    </row>
    <row r="19">
      <c r="A19" t="inlineStr">
        <is>
          <t>Apartado</t>
        </is>
      </c>
      <c r="B19" s="10">
        <f>B9</f>
        <v/>
      </c>
      <c r="C19" s="11">
        <f>B5</f>
        <v/>
      </c>
      <c r="D19" s="11" t="n">
        <v>0</v>
      </c>
      <c r="E19" s="11">
        <f>IF(A19="","",C19+D19)</f>
        <v/>
      </c>
      <c r="F19" s="4" t="n"/>
      <c r="G19" s="7" t="n"/>
      <c r="H19" s="11">
        <f>IF(A19="","",$B$16-(SUM(F$19:F19)-SUMIF(F$19:F19,"&gt;0",D$19:D19)))</f>
        <v/>
      </c>
      <c r="I19">
        <f>IF(A19="","",IF(F19&gt;=E19,"Pagado",IF(B19&lt;TODAY(),IF(F19&gt;0,"Pago parcial vencido","Vencido"),IF(F19&gt;0,"Pago parcial","Por vencer"))))</f>
        <v/>
      </c>
    </row>
    <row r="20">
      <c r="A20" t="inlineStr">
        <is>
          <t>Enganche (resto)</t>
        </is>
      </c>
      <c r="B20" s="10">
        <f>B10</f>
        <v/>
      </c>
      <c r="C20" s="11">
        <f>B6-B5</f>
        <v/>
      </c>
      <c r="D20" s="11" t="n">
        <v>0</v>
      </c>
      <c r="E20" s="11">
        <f>IF(A20="","",C20+D20)</f>
        <v/>
      </c>
      <c r="F20" s="4" t="n"/>
      <c r="G20" s="7" t="n"/>
      <c r="H20" s="11">
        <f>IF(A20="","",$B$16-(SUM(F$19:F20)-SUMIF(F$19:F20,"&gt;0",D$19:D20)))</f>
        <v/>
      </c>
      <c r="I20">
        <f>IF(A20="","",IF(F20&gt;=E20,"Pagado",IF(B20&lt;TODAY(),IF(F20&gt;0,"Pago parcial vencido","Vencido"),IF(F20&gt;0,"Pago parcial","Por vencer"))))</f>
        <v/>
      </c>
    </row>
    <row r="21">
      <c r="A21">
        <f>IF(1&lt;=$B$7,"Mensualidad "&amp;1&amp;" de "&amp;$B$7,"")</f>
        <v/>
      </c>
      <c r="B21" s="10">
        <f>IF(A21="","",EDATE($B$11,0))</f>
        <v/>
      </c>
      <c r="C21" s="11">
        <f>IF(A21="","",IF(AND(1=$B$7,$B$8=0),ROUND($B$14-$B$15*($B$7-1),2),$B$15))</f>
        <v/>
      </c>
      <c r="D21" s="11">
        <f>IF(A21="","",$B$12)</f>
        <v/>
      </c>
      <c r="E21" s="11">
        <f>IF(A21="","",C21+D21)</f>
        <v/>
      </c>
      <c r="F21" s="4" t="n"/>
      <c r="G21" s="7" t="n"/>
      <c r="H21" s="11">
        <f>IF(A21="","",$B$16-(SUM(F$19:F21)-SUMIF(F$19:F21,"&gt;0",D$19:D21)))</f>
        <v/>
      </c>
      <c r="I21">
        <f>IF(A21="","",IF(F21&gt;=E21,"Pagado",IF(B21&lt;TODAY(),IF(F21&gt;0,"Pago parcial vencido","Vencido"),IF(F21&gt;0,"Pago parcial","Por vencer"))))</f>
        <v/>
      </c>
    </row>
    <row r="22">
      <c r="A22">
        <f>IF(2&lt;=$B$7,"Mensualidad "&amp;2&amp;" de "&amp;$B$7,"")</f>
        <v/>
      </c>
      <c r="B22" s="10">
        <f>IF(A22="","",EDATE($B$11,1))</f>
        <v/>
      </c>
      <c r="C22" s="11">
        <f>IF(A22="","",IF(AND(2=$B$7,$B$8=0),ROUND($B$14-$B$15*($B$7-1),2),$B$15))</f>
        <v/>
      </c>
      <c r="D22" s="11">
        <f>IF(A22="","",$B$12)</f>
        <v/>
      </c>
      <c r="E22" s="11">
        <f>IF(A22="","",C22+D22)</f>
        <v/>
      </c>
      <c r="F22" s="4" t="n"/>
      <c r="G22" s="7" t="n"/>
      <c r="H22" s="11">
        <f>IF(A22="","",$B$16-(SUM(F$19:F22)-SUMIF(F$19:F22,"&gt;0",D$19:D22)))</f>
        <v/>
      </c>
      <c r="I22">
        <f>IF(A22="","",IF(F22&gt;=E22,"Pagado",IF(B22&lt;TODAY(),IF(F22&gt;0,"Pago parcial vencido","Vencido"),IF(F22&gt;0,"Pago parcial","Por vencer"))))</f>
        <v/>
      </c>
    </row>
    <row r="23">
      <c r="A23">
        <f>IF(3&lt;=$B$7,"Mensualidad "&amp;3&amp;" de "&amp;$B$7,"")</f>
        <v/>
      </c>
      <c r="B23" s="10">
        <f>IF(A23="","",EDATE($B$11,2))</f>
        <v/>
      </c>
      <c r="C23" s="11">
        <f>IF(A23="","",IF(AND(3=$B$7,$B$8=0),ROUND($B$14-$B$15*($B$7-1),2),$B$15))</f>
        <v/>
      </c>
      <c r="D23" s="11">
        <f>IF(A23="","",$B$12)</f>
        <v/>
      </c>
      <c r="E23" s="11">
        <f>IF(A23="","",C23+D23)</f>
        <v/>
      </c>
      <c r="F23" s="4" t="n"/>
      <c r="G23" s="7" t="n"/>
      <c r="H23" s="11">
        <f>IF(A23="","",$B$16-(SUM(F$19:F23)-SUMIF(F$19:F23,"&gt;0",D$19:D23)))</f>
        <v/>
      </c>
      <c r="I23">
        <f>IF(A23="","",IF(F23&gt;=E23,"Pagado",IF(B23&lt;TODAY(),IF(F23&gt;0,"Pago parcial vencido","Vencido"),IF(F23&gt;0,"Pago parcial","Por vencer"))))</f>
        <v/>
      </c>
    </row>
    <row r="24">
      <c r="A24">
        <f>IF(4&lt;=$B$7,"Mensualidad "&amp;4&amp;" de "&amp;$B$7,"")</f>
        <v/>
      </c>
      <c r="B24" s="10">
        <f>IF(A24="","",EDATE($B$11,3))</f>
        <v/>
      </c>
      <c r="C24" s="11">
        <f>IF(A24="","",IF(AND(4=$B$7,$B$8=0),ROUND($B$14-$B$15*($B$7-1),2),$B$15))</f>
        <v/>
      </c>
      <c r="D24" s="11">
        <f>IF(A24="","",$B$12)</f>
        <v/>
      </c>
      <c r="E24" s="11">
        <f>IF(A24="","",C24+D24)</f>
        <v/>
      </c>
      <c r="F24" s="4" t="n"/>
      <c r="G24" s="7" t="n"/>
      <c r="H24" s="11">
        <f>IF(A24="","",$B$16-(SUM(F$19:F24)-SUMIF(F$19:F24,"&gt;0",D$19:D24)))</f>
        <v/>
      </c>
      <c r="I24">
        <f>IF(A24="","",IF(F24&gt;=E24,"Pagado",IF(B24&lt;TODAY(),IF(F24&gt;0,"Pago parcial vencido","Vencido"),IF(F24&gt;0,"Pago parcial","Por vencer"))))</f>
        <v/>
      </c>
    </row>
    <row r="25">
      <c r="A25">
        <f>IF(5&lt;=$B$7,"Mensualidad "&amp;5&amp;" de "&amp;$B$7,"")</f>
        <v/>
      </c>
      <c r="B25" s="10">
        <f>IF(A25="","",EDATE($B$11,4))</f>
        <v/>
      </c>
      <c r="C25" s="11">
        <f>IF(A25="","",IF(AND(5=$B$7,$B$8=0),ROUND($B$14-$B$15*($B$7-1),2),$B$15))</f>
        <v/>
      </c>
      <c r="D25" s="11">
        <f>IF(A25="","",$B$12)</f>
        <v/>
      </c>
      <c r="E25" s="11">
        <f>IF(A25="","",C25+D25)</f>
        <v/>
      </c>
      <c r="F25" s="4" t="n"/>
      <c r="G25" s="7" t="n"/>
      <c r="H25" s="11">
        <f>IF(A25="","",$B$16-(SUM(F$19:F25)-SUMIF(F$19:F25,"&gt;0",D$19:D25)))</f>
        <v/>
      </c>
      <c r="I25">
        <f>IF(A25="","",IF(F25&gt;=E25,"Pagado",IF(B25&lt;TODAY(),IF(F25&gt;0,"Pago parcial vencido","Vencido"),IF(F25&gt;0,"Pago parcial","Por vencer"))))</f>
        <v/>
      </c>
    </row>
    <row r="26">
      <c r="A26">
        <f>IF(6&lt;=$B$7,"Mensualidad "&amp;6&amp;" de "&amp;$B$7,"")</f>
        <v/>
      </c>
      <c r="B26" s="10">
        <f>IF(A26="","",EDATE($B$11,5))</f>
        <v/>
      </c>
      <c r="C26" s="11">
        <f>IF(A26="","",IF(AND(6=$B$7,$B$8=0),ROUND($B$14-$B$15*($B$7-1),2),$B$15))</f>
        <v/>
      </c>
      <c r="D26" s="11">
        <f>IF(A26="","",$B$12)</f>
        <v/>
      </c>
      <c r="E26" s="11">
        <f>IF(A26="","",C26+D26)</f>
        <v/>
      </c>
      <c r="F26" s="4" t="n"/>
      <c r="G26" s="7" t="n"/>
      <c r="H26" s="11">
        <f>IF(A26="","",$B$16-(SUM(F$19:F26)-SUMIF(F$19:F26,"&gt;0",D$19:D26)))</f>
        <v/>
      </c>
      <c r="I26">
        <f>IF(A26="","",IF(F26&gt;=E26,"Pagado",IF(B26&lt;TODAY(),IF(F26&gt;0,"Pago parcial vencido","Vencido"),IF(F26&gt;0,"Pago parcial","Por vencer"))))</f>
        <v/>
      </c>
    </row>
    <row r="27">
      <c r="A27">
        <f>IF(7&lt;=$B$7,"Mensualidad "&amp;7&amp;" de "&amp;$B$7,"")</f>
        <v/>
      </c>
      <c r="B27" s="10">
        <f>IF(A27="","",EDATE($B$11,6))</f>
        <v/>
      </c>
      <c r="C27" s="11">
        <f>IF(A27="","",IF(AND(7=$B$7,$B$8=0),ROUND($B$14-$B$15*($B$7-1),2),$B$15))</f>
        <v/>
      </c>
      <c r="D27" s="11">
        <f>IF(A27="","",$B$12)</f>
        <v/>
      </c>
      <c r="E27" s="11">
        <f>IF(A27="","",C27+D27)</f>
        <v/>
      </c>
      <c r="F27" s="4" t="n"/>
      <c r="G27" s="7" t="n"/>
      <c r="H27" s="11">
        <f>IF(A27="","",$B$16-(SUM(F$19:F27)-SUMIF(F$19:F27,"&gt;0",D$19:D27)))</f>
        <v/>
      </c>
      <c r="I27">
        <f>IF(A27="","",IF(F27&gt;=E27,"Pagado",IF(B27&lt;TODAY(),IF(F27&gt;0,"Pago parcial vencido","Vencido"),IF(F27&gt;0,"Pago parcial","Por vencer"))))</f>
        <v/>
      </c>
    </row>
    <row r="28">
      <c r="A28">
        <f>IF(8&lt;=$B$7,"Mensualidad "&amp;8&amp;" de "&amp;$B$7,"")</f>
        <v/>
      </c>
      <c r="B28" s="10">
        <f>IF(A28="","",EDATE($B$11,7))</f>
        <v/>
      </c>
      <c r="C28" s="11">
        <f>IF(A28="","",IF(AND(8=$B$7,$B$8=0),ROUND($B$14-$B$15*($B$7-1),2),$B$15))</f>
        <v/>
      </c>
      <c r="D28" s="11">
        <f>IF(A28="","",$B$12)</f>
        <v/>
      </c>
      <c r="E28" s="11">
        <f>IF(A28="","",C28+D28)</f>
        <v/>
      </c>
      <c r="F28" s="4" t="n"/>
      <c r="G28" s="7" t="n"/>
      <c r="H28" s="11">
        <f>IF(A28="","",$B$16-(SUM(F$19:F28)-SUMIF(F$19:F28,"&gt;0",D$19:D28)))</f>
        <v/>
      </c>
      <c r="I28">
        <f>IF(A28="","",IF(F28&gt;=E28,"Pagado",IF(B28&lt;TODAY(),IF(F28&gt;0,"Pago parcial vencido","Vencido"),IF(F28&gt;0,"Pago parcial","Por vencer"))))</f>
        <v/>
      </c>
    </row>
    <row r="29">
      <c r="A29">
        <f>IF(9&lt;=$B$7,"Mensualidad "&amp;9&amp;" de "&amp;$B$7,"")</f>
        <v/>
      </c>
      <c r="B29" s="10">
        <f>IF(A29="","",EDATE($B$11,8))</f>
        <v/>
      </c>
      <c r="C29" s="11">
        <f>IF(A29="","",IF(AND(9=$B$7,$B$8=0),ROUND($B$14-$B$15*($B$7-1),2),$B$15))</f>
        <v/>
      </c>
      <c r="D29" s="11">
        <f>IF(A29="","",$B$12)</f>
        <v/>
      </c>
      <c r="E29" s="11">
        <f>IF(A29="","",C29+D29)</f>
        <v/>
      </c>
      <c r="F29" s="4" t="n"/>
      <c r="G29" s="7" t="n"/>
      <c r="H29" s="11">
        <f>IF(A29="","",$B$16-(SUM(F$19:F29)-SUMIF(F$19:F29,"&gt;0",D$19:D29)))</f>
        <v/>
      </c>
      <c r="I29">
        <f>IF(A29="","",IF(F29&gt;=E29,"Pagado",IF(B29&lt;TODAY(),IF(F29&gt;0,"Pago parcial vencido","Vencido"),IF(F29&gt;0,"Pago parcial","Por vencer"))))</f>
        <v/>
      </c>
    </row>
    <row r="30">
      <c r="A30">
        <f>IF(10&lt;=$B$7,"Mensualidad "&amp;10&amp;" de "&amp;$B$7,"")</f>
        <v/>
      </c>
      <c r="B30" s="10">
        <f>IF(A30="","",EDATE($B$11,9))</f>
        <v/>
      </c>
      <c r="C30" s="11">
        <f>IF(A30="","",IF(AND(10=$B$7,$B$8=0),ROUND($B$14-$B$15*($B$7-1),2),$B$15))</f>
        <v/>
      </c>
      <c r="D30" s="11">
        <f>IF(A30="","",$B$12)</f>
        <v/>
      </c>
      <c r="E30" s="11">
        <f>IF(A30="","",C30+D30)</f>
        <v/>
      </c>
      <c r="F30" s="4" t="n"/>
      <c r="G30" s="7" t="n"/>
      <c r="H30" s="11">
        <f>IF(A30="","",$B$16-(SUM(F$19:F30)-SUMIF(F$19:F30,"&gt;0",D$19:D30)))</f>
        <v/>
      </c>
      <c r="I30">
        <f>IF(A30="","",IF(F30&gt;=E30,"Pagado",IF(B30&lt;TODAY(),IF(F30&gt;0,"Pago parcial vencido","Vencido"),IF(F30&gt;0,"Pago parcial","Por vencer"))))</f>
        <v/>
      </c>
    </row>
    <row r="31">
      <c r="A31">
        <f>IF(11&lt;=$B$7,"Mensualidad "&amp;11&amp;" de "&amp;$B$7,"")</f>
        <v/>
      </c>
      <c r="B31" s="10">
        <f>IF(A31="","",EDATE($B$11,10))</f>
        <v/>
      </c>
      <c r="C31" s="11">
        <f>IF(A31="","",IF(AND(11=$B$7,$B$8=0),ROUND($B$14-$B$15*($B$7-1),2),$B$15))</f>
        <v/>
      </c>
      <c r="D31" s="11">
        <f>IF(A31="","",$B$12)</f>
        <v/>
      </c>
      <c r="E31" s="11">
        <f>IF(A31="","",C31+D31)</f>
        <v/>
      </c>
      <c r="F31" s="4" t="n"/>
      <c r="G31" s="7" t="n"/>
      <c r="H31" s="11">
        <f>IF(A31="","",$B$16-(SUM(F$19:F31)-SUMIF(F$19:F31,"&gt;0",D$19:D31)))</f>
        <v/>
      </c>
      <c r="I31">
        <f>IF(A31="","",IF(F31&gt;=E31,"Pagado",IF(B31&lt;TODAY(),IF(F31&gt;0,"Pago parcial vencido","Vencido"),IF(F31&gt;0,"Pago parcial","Por vencer"))))</f>
        <v/>
      </c>
    </row>
    <row r="32">
      <c r="A32">
        <f>IF(12&lt;=$B$7,"Mensualidad "&amp;12&amp;" de "&amp;$B$7,"")</f>
        <v/>
      </c>
      <c r="B32" s="10">
        <f>IF(A32="","",EDATE($B$11,11))</f>
        <v/>
      </c>
      <c r="C32" s="11">
        <f>IF(A32="","",IF(AND(12=$B$7,$B$8=0),ROUND($B$14-$B$15*($B$7-1),2),$B$15))</f>
        <v/>
      </c>
      <c r="D32" s="11">
        <f>IF(A32="","",$B$12)</f>
        <v/>
      </c>
      <c r="E32" s="11">
        <f>IF(A32="","",C32+D32)</f>
        <v/>
      </c>
      <c r="F32" s="4" t="n"/>
      <c r="G32" s="7" t="n"/>
      <c r="H32" s="11">
        <f>IF(A32="","",$B$16-(SUM(F$19:F32)-SUMIF(F$19:F32,"&gt;0",D$19:D32)))</f>
        <v/>
      </c>
      <c r="I32">
        <f>IF(A32="","",IF(F32&gt;=E32,"Pagado",IF(B32&lt;TODAY(),IF(F32&gt;0,"Pago parcial vencido","Vencido"),IF(F32&gt;0,"Pago parcial","Por vencer"))))</f>
        <v/>
      </c>
    </row>
    <row r="33">
      <c r="A33">
        <f>IF(13&lt;=$B$7,"Mensualidad "&amp;13&amp;" de "&amp;$B$7,"")</f>
        <v/>
      </c>
      <c r="B33" s="10">
        <f>IF(A33="","",EDATE($B$11,12))</f>
        <v/>
      </c>
      <c r="C33" s="11">
        <f>IF(A33="","",IF(AND(13=$B$7,$B$8=0),ROUND($B$14-$B$15*($B$7-1),2),$B$15))</f>
        <v/>
      </c>
      <c r="D33" s="11">
        <f>IF(A33="","",$B$12)</f>
        <v/>
      </c>
      <c r="E33" s="11">
        <f>IF(A33="","",C33+D33)</f>
        <v/>
      </c>
      <c r="F33" s="4" t="n"/>
      <c r="G33" s="7" t="n"/>
      <c r="H33" s="11">
        <f>IF(A33="","",$B$16-(SUM(F$19:F33)-SUMIF(F$19:F33,"&gt;0",D$19:D33)))</f>
        <v/>
      </c>
      <c r="I33">
        <f>IF(A33="","",IF(F33&gt;=E33,"Pagado",IF(B33&lt;TODAY(),IF(F33&gt;0,"Pago parcial vencido","Vencido"),IF(F33&gt;0,"Pago parcial","Por vencer"))))</f>
        <v/>
      </c>
    </row>
    <row r="34">
      <c r="A34">
        <f>IF(14&lt;=$B$7,"Mensualidad "&amp;14&amp;" de "&amp;$B$7,"")</f>
        <v/>
      </c>
      <c r="B34" s="10">
        <f>IF(A34="","",EDATE($B$11,13))</f>
        <v/>
      </c>
      <c r="C34" s="11">
        <f>IF(A34="","",IF(AND(14=$B$7,$B$8=0),ROUND($B$14-$B$15*($B$7-1),2),$B$15))</f>
        <v/>
      </c>
      <c r="D34" s="11">
        <f>IF(A34="","",$B$12)</f>
        <v/>
      </c>
      <c r="E34" s="11">
        <f>IF(A34="","",C34+D34)</f>
        <v/>
      </c>
      <c r="F34" s="4" t="n"/>
      <c r="G34" s="7" t="n"/>
      <c r="H34" s="11">
        <f>IF(A34="","",$B$16-(SUM(F$19:F34)-SUMIF(F$19:F34,"&gt;0",D$19:D34)))</f>
        <v/>
      </c>
      <c r="I34">
        <f>IF(A34="","",IF(F34&gt;=E34,"Pagado",IF(B34&lt;TODAY(),IF(F34&gt;0,"Pago parcial vencido","Vencido"),IF(F34&gt;0,"Pago parcial","Por vencer"))))</f>
        <v/>
      </c>
    </row>
    <row r="35">
      <c r="A35">
        <f>IF(15&lt;=$B$7,"Mensualidad "&amp;15&amp;" de "&amp;$B$7,"")</f>
        <v/>
      </c>
      <c r="B35" s="10">
        <f>IF(A35="","",EDATE($B$11,14))</f>
        <v/>
      </c>
      <c r="C35" s="11">
        <f>IF(A35="","",IF(AND(15=$B$7,$B$8=0),ROUND($B$14-$B$15*($B$7-1),2),$B$15))</f>
        <v/>
      </c>
      <c r="D35" s="11">
        <f>IF(A35="","",$B$12)</f>
        <v/>
      </c>
      <c r="E35" s="11">
        <f>IF(A35="","",C35+D35)</f>
        <v/>
      </c>
      <c r="F35" s="4" t="n"/>
      <c r="G35" s="7" t="n"/>
      <c r="H35" s="11">
        <f>IF(A35="","",$B$16-(SUM(F$19:F35)-SUMIF(F$19:F35,"&gt;0",D$19:D35)))</f>
        <v/>
      </c>
      <c r="I35">
        <f>IF(A35="","",IF(F35&gt;=E35,"Pagado",IF(B35&lt;TODAY(),IF(F35&gt;0,"Pago parcial vencido","Vencido"),IF(F35&gt;0,"Pago parcial","Por vencer"))))</f>
        <v/>
      </c>
    </row>
    <row r="36">
      <c r="A36">
        <f>IF(16&lt;=$B$7,"Mensualidad "&amp;16&amp;" de "&amp;$B$7,"")</f>
        <v/>
      </c>
      <c r="B36" s="10">
        <f>IF(A36="","",EDATE($B$11,15))</f>
        <v/>
      </c>
      <c r="C36" s="11">
        <f>IF(A36="","",IF(AND(16=$B$7,$B$8=0),ROUND($B$14-$B$15*($B$7-1),2),$B$15))</f>
        <v/>
      </c>
      <c r="D36" s="11">
        <f>IF(A36="","",$B$12)</f>
        <v/>
      </c>
      <c r="E36" s="11">
        <f>IF(A36="","",C36+D36)</f>
        <v/>
      </c>
      <c r="F36" s="4" t="n"/>
      <c r="G36" s="7" t="n"/>
      <c r="H36" s="11">
        <f>IF(A36="","",$B$16-(SUM(F$19:F36)-SUMIF(F$19:F36,"&gt;0",D$19:D36)))</f>
        <v/>
      </c>
      <c r="I36">
        <f>IF(A36="","",IF(F36&gt;=E36,"Pagado",IF(B36&lt;TODAY(),IF(F36&gt;0,"Pago parcial vencido","Vencido"),IF(F36&gt;0,"Pago parcial","Por vencer"))))</f>
        <v/>
      </c>
    </row>
    <row r="37">
      <c r="A37">
        <f>IF(17&lt;=$B$7,"Mensualidad "&amp;17&amp;" de "&amp;$B$7,"")</f>
        <v/>
      </c>
      <c r="B37" s="10">
        <f>IF(A37="","",EDATE($B$11,16))</f>
        <v/>
      </c>
      <c r="C37" s="11">
        <f>IF(A37="","",IF(AND(17=$B$7,$B$8=0),ROUND($B$14-$B$15*($B$7-1),2),$B$15))</f>
        <v/>
      </c>
      <c r="D37" s="11">
        <f>IF(A37="","",$B$12)</f>
        <v/>
      </c>
      <c r="E37" s="11">
        <f>IF(A37="","",C37+D37)</f>
        <v/>
      </c>
      <c r="F37" s="4" t="n"/>
      <c r="G37" s="7" t="n"/>
      <c r="H37" s="11">
        <f>IF(A37="","",$B$16-(SUM(F$19:F37)-SUMIF(F$19:F37,"&gt;0",D$19:D37)))</f>
        <v/>
      </c>
      <c r="I37">
        <f>IF(A37="","",IF(F37&gt;=E37,"Pagado",IF(B37&lt;TODAY(),IF(F37&gt;0,"Pago parcial vencido","Vencido"),IF(F37&gt;0,"Pago parcial","Por vencer"))))</f>
        <v/>
      </c>
    </row>
    <row r="38">
      <c r="A38">
        <f>IF(18&lt;=$B$7,"Mensualidad "&amp;18&amp;" de "&amp;$B$7,"")</f>
        <v/>
      </c>
      <c r="B38" s="10">
        <f>IF(A38="","",EDATE($B$11,17))</f>
        <v/>
      </c>
      <c r="C38" s="11">
        <f>IF(A38="","",IF(AND(18=$B$7,$B$8=0),ROUND($B$14-$B$15*($B$7-1),2),$B$15))</f>
        <v/>
      </c>
      <c r="D38" s="11">
        <f>IF(A38="","",$B$12)</f>
        <v/>
      </c>
      <c r="E38" s="11">
        <f>IF(A38="","",C38+D38)</f>
        <v/>
      </c>
      <c r="F38" s="4" t="n"/>
      <c r="G38" s="7" t="n"/>
      <c r="H38" s="11">
        <f>IF(A38="","",$B$16-(SUM(F$19:F38)-SUMIF(F$19:F38,"&gt;0",D$19:D38)))</f>
        <v/>
      </c>
      <c r="I38">
        <f>IF(A38="","",IF(F38&gt;=E38,"Pagado",IF(B38&lt;TODAY(),IF(F38&gt;0,"Pago parcial vencido","Vencido"),IF(F38&gt;0,"Pago parcial","Por vencer"))))</f>
        <v/>
      </c>
    </row>
    <row r="39">
      <c r="A39">
        <f>IF(19&lt;=$B$7,"Mensualidad "&amp;19&amp;" de "&amp;$B$7,"")</f>
        <v/>
      </c>
      <c r="B39" s="10">
        <f>IF(A39="","",EDATE($B$11,18))</f>
        <v/>
      </c>
      <c r="C39" s="11">
        <f>IF(A39="","",IF(AND(19=$B$7,$B$8=0),ROUND($B$14-$B$15*($B$7-1),2),$B$15))</f>
        <v/>
      </c>
      <c r="D39" s="11">
        <f>IF(A39="","",$B$12)</f>
        <v/>
      </c>
      <c r="E39" s="11">
        <f>IF(A39="","",C39+D39)</f>
        <v/>
      </c>
      <c r="F39" s="4" t="n"/>
      <c r="G39" s="7" t="n"/>
      <c r="H39" s="11">
        <f>IF(A39="","",$B$16-(SUM(F$19:F39)-SUMIF(F$19:F39,"&gt;0",D$19:D39)))</f>
        <v/>
      </c>
      <c r="I39">
        <f>IF(A39="","",IF(F39&gt;=E39,"Pagado",IF(B39&lt;TODAY(),IF(F39&gt;0,"Pago parcial vencido","Vencido"),IF(F39&gt;0,"Pago parcial","Por vencer"))))</f>
        <v/>
      </c>
    </row>
    <row r="40">
      <c r="A40">
        <f>IF(20&lt;=$B$7,"Mensualidad "&amp;20&amp;" de "&amp;$B$7,"")</f>
        <v/>
      </c>
      <c r="B40" s="10">
        <f>IF(A40="","",EDATE($B$11,19))</f>
        <v/>
      </c>
      <c r="C40" s="11">
        <f>IF(A40="","",IF(AND(20=$B$7,$B$8=0),ROUND($B$14-$B$15*($B$7-1),2),$B$15))</f>
        <v/>
      </c>
      <c r="D40" s="11">
        <f>IF(A40="","",$B$12)</f>
        <v/>
      </c>
      <c r="E40" s="11">
        <f>IF(A40="","",C40+D40)</f>
        <v/>
      </c>
      <c r="F40" s="4" t="n"/>
      <c r="G40" s="7" t="n"/>
      <c r="H40" s="11">
        <f>IF(A40="","",$B$16-(SUM(F$19:F40)-SUMIF(F$19:F40,"&gt;0",D$19:D40)))</f>
        <v/>
      </c>
      <c r="I40">
        <f>IF(A40="","",IF(F40&gt;=E40,"Pagado",IF(B40&lt;TODAY(),IF(F40&gt;0,"Pago parcial vencido","Vencido"),IF(F40&gt;0,"Pago parcial","Por vencer"))))</f>
        <v/>
      </c>
    </row>
    <row r="41">
      <c r="A41">
        <f>IF(21&lt;=$B$7,"Mensualidad "&amp;21&amp;" de "&amp;$B$7,"")</f>
        <v/>
      </c>
      <c r="B41" s="10">
        <f>IF(A41="","",EDATE($B$11,20))</f>
        <v/>
      </c>
      <c r="C41" s="11">
        <f>IF(A41="","",IF(AND(21=$B$7,$B$8=0),ROUND($B$14-$B$15*($B$7-1),2),$B$15))</f>
        <v/>
      </c>
      <c r="D41" s="11">
        <f>IF(A41="","",$B$12)</f>
        <v/>
      </c>
      <c r="E41" s="11">
        <f>IF(A41="","",C41+D41)</f>
        <v/>
      </c>
      <c r="F41" s="4" t="n"/>
      <c r="G41" s="7" t="n"/>
      <c r="H41" s="11">
        <f>IF(A41="","",$B$16-(SUM(F$19:F41)-SUMIF(F$19:F41,"&gt;0",D$19:D41)))</f>
        <v/>
      </c>
      <c r="I41">
        <f>IF(A41="","",IF(F41&gt;=E41,"Pagado",IF(B41&lt;TODAY(),IF(F41&gt;0,"Pago parcial vencido","Vencido"),IF(F41&gt;0,"Pago parcial","Por vencer"))))</f>
        <v/>
      </c>
    </row>
    <row r="42">
      <c r="A42">
        <f>IF(22&lt;=$B$7,"Mensualidad "&amp;22&amp;" de "&amp;$B$7,"")</f>
        <v/>
      </c>
      <c r="B42" s="10">
        <f>IF(A42="","",EDATE($B$11,21))</f>
        <v/>
      </c>
      <c r="C42" s="11">
        <f>IF(A42="","",IF(AND(22=$B$7,$B$8=0),ROUND($B$14-$B$15*($B$7-1),2),$B$15))</f>
        <v/>
      </c>
      <c r="D42" s="11">
        <f>IF(A42="","",$B$12)</f>
        <v/>
      </c>
      <c r="E42" s="11">
        <f>IF(A42="","",C42+D42)</f>
        <v/>
      </c>
      <c r="F42" s="4" t="n"/>
      <c r="G42" s="7" t="n"/>
      <c r="H42" s="11">
        <f>IF(A42="","",$B$16-(SUM(F$19:F42)-SUMIF(F$19:F42,"&gt;0",D$19:D42)))</f>
        <v/>
      </c>
      <c r="I42">
        <f>IF(A42="","",IF(F42&gt;=E42,"Pagado",IF(B42&lt;TODAY(),IF(F42&gt;0,"Pago parcial vencido","Vencido"),IF(F42&gt;0,"Pago parcial","Por vencer"))))</f>
        <v/>
      </c>
    </row>
    <row r="43">
      <c r="A43">
        <f>IF(23&lt;=$B$7,"Mensualidad "&amp;23&amp;" de "&amp;$B$7,"")</f>
        <v/>
      </c>
      <c r="B43" s="10">
        <f>IF(A43="","",EDATE($B$11,22))</f>
        <v/>
      </c>
      <c r="C43" s="11">
        <f>IF(A43="","",IF(AND(23=$B$7,$B$8=0),ROUND($B$14-$B$15*($B$7-1),2),$B$15))</f>
        <v/>
      </c>
      <c r="D43" s="11">
        <f>IF(A43="","",$B$12)</f>
        <v/>
      </c>
      <c r="E43" s="11">
        <f>IF(A43="","",C43+D43)</f>
        <v/>
      </c>
      <c r="F43" s="4" t="n"/>
      <c r="G43" s="7" t="n"/>
      <c r="H43" s="11">
        <f>IF(A43="","",$B$16-(SUM(F$19:F43)-SUMIF(F$19:F43,"&gt;0",D$19:D43)))</f>
        <v/>
      </c>
      <c r="I43">
        <f>IF(A43="","",IF(F43&gt;=E43,"Pagado",IF(B43&lt;TODAY(),IF(F43&gt;0,"Pago parcial vencido","Vencido"),IF(F43&gt;0,"Pago parcial","Por vencer"))))</f>
        <v/>
      </c>
    </row>
    <row r="44">
      <c r="A44">
        <f>IF(24&lt;=$B$7,"Mensualidad "&amp;24&amp;" de "&amp;$B$7,"")</f>
        <v/>
      </c>
      <c r="B44" s="10">
        <f>IF(A44="","",EDATE($B$11,23))</f>
        <v/>
      </c>
      <c r="C44" s="11">
        <f>IF(A44="","",IF(AND(24=$B$7,$B$8=0),ROUND($B$14-$B$15*($B$7-1),2),$B$15))</f>
        <v/>
      </c>
      <c r="D44" s="11">
        <f>IF(A44="","",$B$12)</f>
        <v/>
      </c>
      <c r="E44" s="11">
        <f>IF(A44="","",C44+D44)</f>
        <v/>
      </c>
      <c r="F44" s="4" t="n"/>
      <c r="G44" s="7" t="n"/>
      <c r="H44" s="11">
        <f>IF(A44="","",$B$16-(SUM(F$19:F44)-SUMIF(F$19:F44,"&gt;0",D$19:D44)))</f>
        <v/>
      </c>
      <c r="I44">
        <f>IF(A44="","",IF(F44&gt;=E44,"Pagado",IF(B44&lt;TODAY(),IF(F44&gt;0,"Pago parcial vencido","Vencido"),IF(F44&gt;0,"Pago parcial","Por vencer"))))</f>
        <v/>
      </c>
    </row>
    <row r="45">
      <c r="A45">
        <f>IF(25&lt;=$B$7,"Mensualidad "&amp;25&amp;" de "&amp;$B$7,"")</f>
        <v/>
      </c>
      <c r="B45" s="10">
        <f>IF(A45="","",EDATE($B$11,24))</f>
        <v/>
      </c>
      <c r="C45" s="11">
        <f>IF(A45="","",IF(AND(25=$B$7,$B$8=0),ROUND($B$14-$B$15*($B$7-1),2),$B$15))</f>
        <v/>
      </c>
      <c r="D45" s="11">
        <f>IF(A45="","",$B$12)</f>
        <v/>
      </c>
      <c r="E45" s="11">
        <f>IF(A45="","",C45+D45)</f>
        <v/>
      </c>
      <c r="F45" s="4" t="n"/>
      <c r="G45" s="7" t="n"/>
      <c r="H45" s="11">
        <f>IF(A45="","",$B$16-(SUM(F$19:F45)-SUMIF(F$19:F45,"&gt;0",D$19:D45)))</f>
        <v/>
      </c>
      <c r="I45">
        <f>IF(A45="","",IF(F45&gt;=E45,"Pagado",IF(B45&lt;TODAY(),IF(F45&gt;0,"Pago parcial vencido","Vencido"),IF(F45&gt;0,"Pago parcial","Por vencer"))))</f>
        <v/>
      </c>
    </row>
    <row r="46">
      <c r="A46">
        <f>IF(26&lt;=$B$7,"Mensualidad "&amp;26&amp;" de "&amp;$B$7,"")</f>
        <v/>
      </c>
      <c r="B46" s="10">
        <f>IF(A46="","",EDATE($B$11,25))</f>
        <v/>
      </c>
      <c r="C46" s="11">
        <f>IF(A46="","",IF(AND(26=$B$7,$B$8=0),ROUND($B$14-$B$15*($B$7-1),2),$B$15))</f>
        <v/>
      </c>
      <c r="D46" s="11">
        <f>IF(A46="","",$B$12)</f>
        <v/>
      </c>
      <c r="E46" s="11">
        <f>IF(A46="","",C46+D46)</f>
        <v/>
      </c>
      <c r="F46" s="4" t="n"/>
      <c r="G46" s="7" t="n"/>
      <c r="H46" s="11">
        <f>IF(A46="","",$B$16-(SUM(F$19:F46)-SUMIF(F$19:F46,"&gt;0",D$19:D46)))</f>
        <v/>
      </c>
      <c r="I46">
        <f>IF(A46="","",IF(F46&gt;=E46,"Pagado",IF(B46&lt;TODAY(),IF(F46&gt;0,"Pago parcial vencido","Vencido"),IF(F46&gt;0,"Pago parcial","Por vencer"))))</f>
        <v/>
      </c>
    </row>
    <row r="47">
      <c r="A47">
        <f>IF(27&lt;=$B$7,"Mensualidad "&amp;27&amp;" de "&amp;$B$7,"")</f>
        <v/>
      </c>
      <c r="B47" s="10">
        <f>IF(A47="","",EDATE($B$11,26))</f>
        <v/>
      </c>
      <c r="C47" s="11">
        <f>IF(A47="","",IF(AND(27=$B$7,$B$8=0),ROUND($B$14-$B$15*($B$7-1),2),$B$15))</f>
        <v/>
      </c>
      <c r="D47" s="11">
        <f>IF(A47="","",$B$12)</f>
        <v/>
      </c>
      <c r="E47" s="11">
        <f>IF(A47="","",C47+D47)</f>
        <v/>
      </c>
      <c r="F47" s="4" t="n"/>
      <c r="G47" s="7" t="n"/>
      <c r="H47" s="11">
        <f>IF(A47="","",$B$16-(SUM(F$19:F47)-SUMIF(F$19:F47,"&gt;0",D$19:D47)))</f>
        <v/>
      </c>
      <c r="I47">
        <f>IF(A47="","",IF(F47&gt;=E47,"Pagado",IF(B47&lt;TODAY(),IF(F47&gt;0,"Pago parcial vencido","Vencido"),IF(F47&gt;0,"Pago parcial","Por vencer"))))</f>
        <v/>
      </c>
    </row>
    <row r="48">
      <c r="A48">
        <f>IF(28&lt;=$B$7,"Mensualidad "&amp;28&amp;" de "&amp;$B$7,"")</f>
        <v/>
      </c>
      <c r="B48" s="10">
        <f>IF(A48="","",EDATE($B$11,27))</f>
        <v/>
      </c>
      <c r="C48" s="11">
        <f>IF(A48="","",IF(AND(28=$B$7,$B$8=0),ROUND($B$14-$B$15*($B$7-1),2),$B$15))</f>
        <v/>
      </c>
      <c r="D48" s="11">
        <f>IF(A48="","",$B$12)</f>
        <v/>
      </c>
      <c r="E48" s="11">
        <f>IF(A48="","",C48+D48)</f>
        <v/>
      </c>
      <c r="F48" s="4" t="n"/>
      <c r="G48" s="7" t="n"/>
      <c r="H48" s="11">
        <f>IF(A48="","",$B$16-(SUM(F$19:F48)-SUMIF(F$19:F48,"&gt;0",D$19:D48)))</f>
        <v/>
      </c>
      <c r="I48">
        <f>IF(A48="","",IF(F48&gt;=E48,"Pagado",IF(B48&lt;TODAY(),IF(F48&gt;0,"Pago parcial vencido","Vencido"),IF(F48&gt;0,"Pago parcial","Por vencer"))))</f>
        <v/>
      </c>
    </row>
    <row r="49">
      <c r="A49">
        <f>IF(29&lt;=$B$7,"Mensualidad "&amp;29&amp;" de "&amp;$B$7,"")</f>
        <v/>
      </c>
      <c r="B49" s="10">
        <f>IF(A49="","",EDATE($B$11,28))</f>
        <v/>
      </c>
      <c r="C49" s="11">
        <f>IF(A49="","",IF(AND(29=$B$7,$B$8=0),ROUND($B$14-$B$15*($B$7-1),2),$B$15))</f>
        <v/>
      </c>
      <c r="D49" s="11">
        <f>IF(A49="","",$B$12)</f>
        <v/>
      </c>
      <c r="E49" s="11">
        <f>IF(A49="","",C49+D49)</f>
        <v/>
      </c>
      <c r="F49" s="4" t="n"/>
      <c r="G49" s="7" t="n"/>
      <c r="H49" s="11">
        <f>IF(A49="","",$B$16-(SUM(F$19:F49)-SUMIF(F$19:F49,"&gt;0",D$19:D49)))</f>
        <v/>
      </c>
      <c r="I49">
        <f>IF(A49="","",IF(F49&gt;=E49,"Pagado",IF(B49&lt;TODAY(),IF(F49&gt;0,"Pago parcial vencido","Vencido"),IF(F49&gt;0,"Pago parcial","Por vencer"))))</f>
        <v/>
      </c>
    </row>
    <row r="50">
      <c r="A50">
        <f>IF(30&lt;=$B$7,"Mensualidad "&amp;30&amp;" de "&amp;$B$7,"")</f>
        <v/>
      </c>
      <c r="B50" s="10">
        <f>IF(A50="","",EDATE($B$11,29))</f>
        <v/>
      </c>
      <c r="C50" s="11">
        <f>IF(A50="","",IF(AND(30=$B$7,$B$8=0),ROUND($B$14-$B$15*($B$7-1),2),$B$15))</f>
        <v/>
      </c>
      <c r="D50" s="11">
        <f>IF(A50="","",$B$12)</f>
        <v/>
      </c>
      <c r="E50" s="11">
        <f>IF(A50="","",C50+D50)</f>
        <v/>
      </c>
      <c r="F50" s="4" t="n"/>
      <c r="G50" s="7" t="n"/>
      <c r="H50" s="11">
        <f>IF(A50="","",$B$16-(SUM(F$19:F50)-SUMIF(F$19:F50,"&gt;0",D$19:D50)))</f>
        <v/>
      </c>
      <c r="I50">
        <f>IF(A50="","",IF(F50&gt;=E50,"Pagado",IF(B50&lt;TODAY(),IF(F50&gt;0,"Pago parcial vencido","Vencido"),IF(F50&gt;0,"Pago parcial","Por vencer"))))</f>
        <v/>
      </c>
    </row>
    <row r="51">
      <c r="A51">
        <f>IF(31&lt;=$B$7,"Mensualidad "&amp;31&amp;" de "&amp;$B$7,"")</f>
        <v/>
      </c>
      <c r="B51" s="10">
        <f>IF(A51="","",EDATE($B$11,30))</f>
        <v/>
      </c>
      <c r="C51" s="11">
        <f>IF(A51="","",IF(AND(31=$B$7,$B$8=0),ROUND($B$14-$B$15*($B$7-1),2),$B$15))</f>
        <v/>
      </c>
      <c r="D51" s="11">
        <f>IF(A51="","",$B$12)</f>
        <v/>
      </c>
      <c r="E51" s="11">
        <f>IF(A51="","",C51+D51)</f>
        <v/>
      </c>
      <c r="F51" s="4" t="n"/>
      <c r="G51" s="7" t="n"/>
      <c r="H51" s="11">
        <f>IF(A51="","",$B$16-(SUM(F$19:F51)-SUMIF(F$19:F51,"&gt;0",D$19:D51)))</f>
        <v/>
      </c>
      <c r="I51">
        <f>IF(A51="","",IF(F51&gt;=E51,"Pagado",IF(B51&lt;TODAY(),IF(F51&gt;0,"Pago parcial vencido","Vencido"),IF(F51&gt;0,"Pago parcial","Por vencer"))))</f>
        <v/>
      </c>
    </row>
    <row r="52">
      <c r="A52">
        <f>IF(32&lt;=$B$7,"Mensualidad "&amp;32&amp;" de "&amp;$B$7,"")</f>
        <v/>
      </c>
      <c r="B52" s="10">
        <f>IF(A52="","",EDATE($B$11,31))</f>
        <v/>
      </c>
      <c r="C52" s="11">
        <f>IF(A52="","",IF(AND(32=$B$7,$B$8=0),ROUND($B$14-$B$15*($B$7-1),2),$B$15))</f>
        <v/>
      </c>
      <c r="D52" s="11">
        <f>IF(A52="","",$B$12)</f>
        <v/>
      </c>
      <c r="E52" s="11">
        <f>IF(A52="","",C52+D52)</f>
        <v/>
      </c>
      <c r="F52" s="4" t="n"/>
      <c r="G52" s="7" t="n"/>
      <c r="H52" s="11">
        <f>IF(A52="","",$B$16-(SUM(F$19:F52)-SUMIF(F$19:F52,"&gt;0",D$19:D52)))</f>
        <v/>
      </c>
      <c r="I52">
        <f>IF(A52="","",IF(F52&gt;=E52,"Pagado",IF(B52&lt;TODAY(),IF(F52&gt;0,"Pago parcial vencido","Vencido"),IF(F52&gt;0,"Pago parcial","Por vencer"))))</f>
        <v/>
      </c>
    </row>
    <row r="53">
      <c r="A53">
        <f>IF(33&lt;=$B$7,"Mensualidad "&amp;33&amp;" de "&amp;$B$7,"")</f>
        <v/>
      </c>
      <c r="B53" s="10">
        <f>IF(A53="","",EDATE($B$11,32))</f>
        <v/>
      </c>
      <c r="C53" s="11">
        <f>IF(A53="","",IF(AND(33=$B$7,$B$8=0),ROUND($B$14-$B$15*($B$7-1),2),$B$15))</f>
        <v/>
      </c>
      <c r="D53" s="11">
        <f>IF(A53="","",$B$12)</f>
        <v/>
      </c>
      <c r="E53" s="11">
        <f>IF(A53="","",C53+D53)</f>
        <v/>
      </c>
      <c r="F53" s="4" t="n"/>
      <c r="G53" s="7" t="n"/>
      <c r="H53" s="11">
        <f>IF(A53="","",$B$16-(SUM(F$19:F53)-SUMIF(F$19:F53,"&gt;0",D$19:D53)))</f>
        <v/>
      </c>
      <c r="I53">
        <f>IF(A53="","",IF(F53&gt;=E53,"Pagado",IF(B53&lt;TODAY(),IF(F53&gt;0,"Pago parcial vencido","Vencido"),IF(F53&gt;0,"Pago parcial","Por vencer"))))</f>
        <v/>
      </c>
    </row>
    <row r="54">
      <c r="A54">
        <f>IF(34&lt;=$B$7,"Mensualidad "&amp;34&amp;" de "&amp;$B$7,"")</f>
        <v/>
      </c>
      <c r="B54" s="10">
        <f>IF(A54="","",EDATE($B$11,33))</f>
        <v/>
      </c>
      <c r="C54" s="11">
        <f>IF(A54="","",IF(AND(34=$B$7,$B$8=0),ROUND($B$14-$B$15*($B$7-1),2),$B$15))</f>
        <v/>
      </c>
      <c r="D54" s="11">
        <f>IF(A54="","",$B$12)</f>
        <v/>
      </c>
      <c r="E54" s="11">
        <f>IF(A54="","",C54+D54)</f>
        <v/>
      </c>
      <c r="F54" s="4" t="n"/>
      <c r="G54" s="7" t="n"/>
      <c r="H54" s="11">
        <f>IF(A54="","",$B$16-(SUM(F$19:F54)-SUMIF(F$19:F54,"&gt;0",D$19:D54)))</f>
        <v/>
      </c>
      <c r="I54">
        <f>IF(A54="","",IF(F54&gt;=E54,"Pagado",IF(B54&lt;TODAY(),IF(F54&gt;0,"Pago parcial vencido","Vencido"),IF(F54&gt;0,"Pago parcial","Por vencer"))))</f>
        <v/>
      </c>
    </row>
    <row r="55">
      <c r="A55">
        <f>IF(35&lt;=$B$7,"Mensualidad "&amp;35&amp;" de "&amp;$B$7,"")</f>
        <v/>
      </c>
      <c r="B55" s="10">
        <f>IF(A55="","",EDATE($B$11,34))</f>
        <v/>
      </c>
      <c r="C55" s="11">
        <f>IF(A55="","",IF(AND(35=$B$7,$B$8=0),ROUND($B$14-$B$15*($B$7-1),2),$B$15))</f>
        <v/>
      </c>
      <c r="D55" s="11">
        <f>IF(A55="","",$B$12)</f>
        <v/>
      </c>
      <c r="E55" s="11">
        <f>IF(A55="","",C55+D55)</f>
        <v/>
      </c>
      <c r="F55" s="4" t="n"/>
      <c r="G55" s="7" t="n"/>
      <c r="H55" s="11">
        <f>IF(A55="","",$B$16-(SUM(F$19:F55)-SUMIF(F$19:F55,"&gt;0",D$19:D55)))</f>
        <v/>
      </c>
      <c r="I55">
        <f>IF(A55="","",IF(F55&gt;=E55,"Pagado",IF(B55&lt;TODAY(),IF(F55&gt;0,"Pago parcial vencido","Vencido"),IF(F55&gt;0,"Pago parcial","Por vencer"))))</f>
        <v/>
      </c>
    </row>
    <row r="56">
      <c r="A56">
        <f>IF(36&lt;=$B$7,"Mensualidad "&amp;36&amp;" de "&amp;$B$7,"")</f>
        <v/>
      </c>
      <c r="B56" s="10">
        <f>IF(A56="","",EDATE($B$11,35))</f>
        <v/>
      </c>
      <c r="C56" s="11">
        <f>IF(A56="","",IF(AND(36=$B$7,$B$8=0),ROUND($B$14-$B$15*($B$7-1),2),$B$15))</f>
        <v/>
      </c>
      <c r="D56" s="11">
        <f>IF(A56="","",$B$12)</f>
        <v/>
      </c>
      <c r="E56" s="11">
        <f>IF(A56="","",C56+D56)</f>
        <v/>
      </c>
      <c r="F56" s="4" t="n"/>
      <c r="G56" s="7" t="n"/>
      <c r="H56" s="11">
        <f>IF(A56="","",$B$16-(SUM(F$19:F56)-SUMIF(F$19:F56,"&gt;0",D$19:D56)))</f>
        <v/>
      </c>
      <c r="I56">
        <f>IF(A56="","",IF(F56&gt;=E56,"Pagado",IF(B56&lt;TODAY(),IF(F56&gt;0,"Pago parcial vencido","Vencido"),IF(F56&gt;0,"Pago parcial","Por vencer"))))</f>
        <v/>
      </c>
    </row>
    <row r="57">
      <c r="A57">
        <f>IF(37&lt;=$B$7,"Mensualidad "&amp;37&amp;" de "&amp;$B$7,"")</f>
        <v/>
      </c>
      <c r="B57" s="10">
        <f>IF(A57="","",EDATE($B$11,36))</f>
        <v/>
      </c>
      <c r="C57" s="11">
        <f>IF(A57="","",IF(AND(37=$B$7,$B$8=0),ROUND($B$14-$B$15*($B$7-1),2),$B$15))</f>
        <v/>
      </c>
      <c r="D57" s="11">
        <f>IF(A57="","",$B$12)</f>
        <v/>
      </c>
      <c r="E57" s="11">
        <f>IF(A57="","",C57+D57)</f>
        <v/>
      </c>
      <c r="F57" s="4" t="n"/>
      <c r="G57" s="7" t="n"/>
      <c r="H57" s="11">
        <f>IF(A57="","",$B$16-(SUM(F$19:F57)-SUMIF(F$19:F57,"&gt;0",D$19:D57)))</f>
        <v/>
      </c>
      <c r="I57">
        <f>IF(A57="","",IF(F57&gt;=E57,"Pagado",IF(B57&lt;TODAY(),IF(F57&gt;0,"Pago parcial vencido","Vencido"),IF(F57&gt;0,"Pago parcial","Por vencer"))))</f>
        <v/>
      </c>
    </row>
    <row r="58">
      <c r="A58">
        <f>IF(38&lt;=$B$7,"Mensualidad "&amp;38&amp;" de "&amp;$B$7,"")</f>
        <v/>
      </c>
      <c r="B58" s="10">
        <f>IF(A58="","",EDATE($B$11,37))</f>
        <v/>
      </c>
      <c r="C58" s="11">
        <f>IF(A58="","",IF(AND(38=$B$7,$B$8=0),ROUND($B$14-$B$15*($B$7-1),2),$B$15))</f>
        <v/>
      </c>
      <c r="D58" s="11">
        <f>IF(A58="","",$B$12)</f>
        <v/>
      </c>
      <c r="E58" s="11">
        <f>IF(A58="","",C58+D58)</f>
        <v/>
      </c>
      <c r="F58" s="4" t="n"/>
      <c r="G58" s="7" t="n"/>
      <c r="H58" s="11">
        <f>IF(A58="","",$B$16-(SUM(F$19:F58)-SUMIF(F$19:F58,"&gt;0",D$19:D58)))</f>
        <v/>
      </c>
      <c r="I58">
        <f>IF(A58="","",IF(F58&gt;=E58,"Pagado",IF(B58&lt;TODAY(),IF(F58&gt;0,"Pago parcial vencido","Vencido"),IF(F58&gt;0,"Pago parcial","Por vencer"))))</f>
        <v/>
      </c>
    </row>
    <row r="59">
      <c r="A59">
        <f>IF(39&lt;=$B$7,"Mensualidad "&amp;39&amp;" de "&amp;$B$7,"")</f>
        <v/>
      </c>
      <c r="B59" s="10">
        <f>IF(A59="","",EDATE($B$11,38))</f>
        <v/>
      </c>
      <c r="C59" s="11">
        <f>IF(A59="","",IF(AND(39=$B$7,$B$8=0),ROUND($B$14-$B$15*($B$7-1),2),$B$15))</f>
        <v/>
      </c>
      <c r="D59" s="11">
        <f>IF(A59="","",$B$12)</f>
        <v/>
      </c>
      <c r="E59" s="11">
        <f>IF(A59="","",C59+D59)</f>
        <v/>
      </c>
      <c r="F59" s="4" t="n"/>
      <c r="G59" s="7" t="n"/>
      <c r="H59" s="11">
        <f>IF(A59="","",$B$16-(SUM(F$19:F59)-SUMIF(F$19:F59,"&gt;0",D$19:D59)))</f>
        <v/>
      </c>
      <c r="I59">
        <f>IF(A59="","",IF(F59&gt;=E59,"Pagado",IF(B59&lt;TODAY(),IF(F59&gt;0,"Pago parcial vencido","Vencido"),IF(F59&gt;0,"Pago parcial","Por vencer"))))</f>
        <v/>
      </c>
    </row>
    <row r="60">
      <c r="A60">
        <f>IF(40&lt;=$B$7,"Mensualidad "&amp;40&amp;" de "&amp;$B$7,"")</f>
        <v/>
      </c>
      <c r="B60" s="10">
        <f>IF(A60="","",EDATE($B$11,39))</f>
        <v/>
      </c>
      <c r="C60" s="11">
        <f>IF(A60="","",IF(AND(40=$B$7,$B$8=0),ROUND($B$14-$B$15*($B$7-1),2),$B$15))</f>
        <v/>
      </c>
      <c r="D60" s="11">
        <f>IF(A60="","",$B$12)</f>
        <v/>
      </c>
      <c r="E60" s="11">
        <f>IF(A60="","",C60+D60)</f>
        <v/>
      </c>
      <c r="F60" s="4" t="n"/>
      <c r="G60" s="7" t="n"/>
      <c r="H60" s="11">
        <f>IF(A60="","",$B$16-(SUM(F$19:F60)-SUMIF(F$19:F60,"&gt;0",D$19:D60)))</f>
        <v/>
      </c>
      <c r="I60">
        <f>IF(A60="","",IF(F60&gt;=E60,"Pagado",IF(B60&lt;TODAY(),IF(F60&gt;0,"Pago parcial vencido","Vencido"),IF(F60&gt;0,"Pago parcial","Por vencer"))))</f>
        <v/>
      </c>
    </row>
    <row r="61">
      <c r="A61">
        <f>IF(41&lt;=$B$7,"Mensualidad "&amp;41&amp;" de "&amp;$B$7,"")</f>
        <v/>
      </c>
      <c r="B61" s="10">
        <f>IF(A61="","",EDATE($B$11,40))</f>
        <v/>
      </c>
      <c r="C61" s="11">
        <f>IF(A61="","",IF(AND(41=$B$7,$B$8=0),ROUND($B$14-$B$15*($B$7-1),2),$B$15))</f>
        <v/>
      </c>
      <c r="D61" s="11">
        <f>IF(A61="","",$B$12)</f>
        <v/>
      </c>
      <c r="E61" s="11">
        <f>IF(A61="","",C61+D61)</f>
        <v/>
      </c>
      <c r="F61" s="4" t="n"/>
      <c r="G61" s="7" t="n"/>
      <c r="H61" s="11">
        <f>IF(A61="","",$B$16-(SUM(F$19:F61)-SUMIF(F$19:F61,"&gt;0",D$19:D61)))</f>
        <v/>
      </c>
      <c r="I61">
        <f>IF(A61="","",IF(F61&gt;=E61,"Pagado",IF(B61&lt;TODAY(),IF(F61&gt;0,"Pago parcial vencido","Vencido"),IF(F61&gt;0,"Pago parcial","Por vencer"))))</f>
        <v/>
      </c>
    </row>
    <row r="62">
      <c r="A62">
        <f>IF(42&lt;=$B$7,"Mensualidad "&amp;42&amp;" de "&amp;$B$7,"")</f>
        <v/>
      </c>
      <c r="B62" s="10">
        <f>IF(A62="","",EDATE($B$11,41))</f>
        <v/>
      </c>
      <c r="C62" s="11">
        <f>IF(A62="","",IF(AND(42=$B$7,$B$8=0),ROUND($B$14-$B$15*($B$7-1),2),$B$15))</f>
        <v/>
      </c>
      <c r="D62" s="11">
        <f>IF(A62="","",$B$12)</f>
        <v/>
      </c>
      <c r="E62" s="11">
        <f>IF(A62="","",C62+D62)</f>
        <v/>
      </c>
      <c r="F62" s="4" t="n"/>
      <c r="G62" s="7" t="n"/>
      <c r="H62" s="11">
        <f>IF(A62="","",$B$16-(SUM(F$19:F62)-SUMIF(F$19:F62,"&gt;0",D$19:D62)))</f>
        <v/>
      </c>
      <c r="I62">
        <f>IF(A62="","",IF(F62&gt;=E62,"Pagado",IF(B62&lt;TODAY(),IF(F62&gt;0,"Pago parcial vencido","Vencido"),IF(F62&gt;0,"Pago parcial","Por vencer"))))</f>
        <v/>
      </c>
    </row>
    <row r="63">
      <c r="A63">
        <f>IF(43&lt;=$B$7,"Mensualidad "&amp;43&amp;" de "&amp;$B$7,"")</f>
        <v/>
      </c>
      <c r="B63" s="10">
        <f>IF(A63="","",EDATE($B$11,42))</f>
        <v/>
      </c>
      <c r="C63" s="11">
        <f>IF(A63="","",IF(AND(43=$B$7,$B$8=0),ROUND($B$14-$B$15*($B$7-1),2),$B$15))</f>
        <v/>
      </c>
      <c r="D63" s="11">
        <f>IF(A63="","",$B$12)</f>
        <v/>
      </c>
      <c r="E63" s="11">
        <f>IF(A63="","",C63+D63)</f>
        <v/>
      </c>
      <c r="F63" s="4" t="n"/>
      <c r="G63" s="7" t="n"/>
      <c r="H63" s="11">
        <f>IF(A63="","",$B$16-(SUM(F$19:F63)-SUMIF(F$19:F63,"&gt;0",D$19:D63)))</f>
        <v/>
      </c>
      <c r="I63">
        <f>IF(A63="","",IF(F63&gt;=E63,"Pagado",IF(B63&lt;TODAY(),IF(F63&gt;0,"Pago parcial vencido","Vencido"),IF(F63&gt;0,"Pago parcial","Por vencer"))))</f>
        <v/>
      </c>
    </row>
    <row r="64">
      <c r="A64">
        <f>IF(44&lt;=$B$7,"Mensualidad "&amp;44&amp;" de "&amp;$B$7,"")</f>
        <v/>
      </c>
      <c r="B64" s="10">
        <f>IF(A64="","",EDATE($B$11,43))</f>
        <v/>
      </c>
      <c r="C64" s="11">
        <f>IF(A64="","",IF(AND(44=$B$7,$B$8=0),ROUND($B$14-$B$15*($B$7-1),2),$B$15))</f>
        <v/>
      </c>
      <c r="D64" s="11">
        <f>IF(A64="","",$B$12)</f>
        <v/>
      </c>
      <c r="E64" s="11">
        <f>IF(A64="","",C64+D64)</f>
        <v/>
      </c>
      <c r="F64" s="4" t="n"/>
      <c r="G64" s="7" t="n"/>
      <c r="H64" s="11">
        <f>IF(A64="","",$B$16-(SUM(F$19:F64)-SUMIF(F$19:F64,"&gt;0",D$19:D64)))</f>
        <v/>
      </c>
      <c r="I64">
        <f>IF(A64="","",IF(F64&gt;=E64,"Pagado",IF(B64&lt;TODAY(),IF(F64&gt;0,"Pago parcial vencido","Vencido"),IF(F64&gt;0,"Pago parcial","Por vencer"))))</f>
        <v/>
      </c>
    </row>
    <row r="65">
      <c r="A65">
        <f>IF(45&lt;=$B$7,"Mensualidad "&amp;45&amp;" de "&amp;$B$7,"")</f>
        <v/>
      </c>
      <c r="B65" s="10">
        <f>IF(A65="","",EDATE($B$11,44))</f>
        <v/>
      </c>
      <c r="C65" s="11">
        <f>IF(A65="","",IF(AND(45=$B$7,$B$8=0),ROUND($B$14-$B$15*($B$7-1),2),$B$15))</f>
        <v/>
      </c>
      <c r="D65" s="11">
        <f>IF(A65="","",$B$12)</f>
        <v/>
      </c>
      <c r="E65" s="11">
        <f>IF(A65="","",C65+D65)</f>
        <v/>
      </c>
      <c r="F65" s="4" t="n"/>
      <c r="G65" s="7" t="n"/>
      <c r="H65" s="11">
        <f>IF(A65="","",$B$16-(SUM(F$19:F65)-SUMIF(F$19:F65,"&gt;0",D$19:D65)))</f>
        <v/>
      </c>
      <c r="I65">
        <f>IF(A65="","",IF(F65&gt;=E65,"Pagado",IF(B65&lt;TODAY(),IF(F65&gt;0,"Pago parcial vencido","Vencido"),IF(F65&gt;0,"Pago parcial","Por vencer"))))</f>
        <v/>
      </c>
    </row>
    <row r="66">
      <c r="A66">
        <f>IF(46&lt;=$B$7,"Mensualidad "&amp;46&amp;" de "&amp;$B$7,"")</f>
        <v/>
      </c>
      <c r="B66" s="10">
        <f>IF(A66="","",EDATE($B$11,45))</f>
        <v/>
      </c>
      <c r="C66" s="11">
        <f>IF(A66="","",IF(AND(46=$B$7,$B$8=0),ROUND($B$14-$B$15*($B$7-1),2),$B$15))</f>
        <v/>
      </c>
      <c r="D66" s="11">
        <f>IF(A66="","",$B$12)</f>
        <v/>
      </c>
      <c r="E66" s="11">
        <f>IF(A66="","",C66+D66)</f>
        <v/>
      </c>
      <c r="F66" s="4" t="n"/>
      <c r="G66" s="7" t="n"/>
      <c r="H66" s="11">
        <f>IF(A66="","",$B$16-(SUM(F$19:F66)-SUMIF(F$19:F66,"&gt;0",D$19:D66)))</f>
        <v/>
      </c>
      <c r="I66">
        <f>IF(A66="","",IF(F66&gt;=E66,"Pagado",IF(B66&lt;TODAY(),IF(F66&gt;0,"Pago parcial vencido","Vencido"),IF(F66&gt;0,"Pago parcial","Por vencer"))))</f>
        <v/>
      </c>
    </row>
    <row r="67">
      <c r="A67">
        <f>IF(47&lt;=$B$7,"Mensualidad "&amp;47&amp;" de "&amp;$B$7,"")</f>
        <v/>
      </c>
      <c r="B67" s="10">
        <f>IF(A67="","",EDATE($B$11,46))</f>
        <v/>
      </c>
      <c r="C67" s="11">
        <f>IF(A67="","",IF(AND(47=$B$7,$B$8=0),ROUND($B$14-$B$15*($B$7-1),2),$B$15))</f>
        <v/>
      </c>
      <c r="D67" s="11">
        <f>IF(A67="","",$B$12)</f>
        <v/>
      </c>
      <c r="E67" s="11">
        <f>IF(A67="","",C67+D67)</f>
        <v/>
      </c>
      <c r="F67" s="4" t="n"/>
      <c r="G67" s="7" t="n"/>
      <c r="H67" s="11">
        <f>IF(A67="","",$B$16-(SUM(F$19:F67)-SUMIF(F$19:F67,"&gt;0",D$19:D67)))</f>
        <v/>
      </c>
      <c r="I67">
        <f>IF(A67="","",IF(F67&gt;=E67,"Pagado",IF(B67&lt;TODAY(),IF(F67&gt;0,"Pago parcial vencido","Vencido"),IF(F67&gt;0,"Pago parcial","Por vencer"))))</f>
        <v/>
      </c>
    </row>
    <row r="68">
      <c r="A68">
        <f>IF(48&lt;=$B$7,"Mensualidad "&amp;48&amp;" de "&amp;$B$7,"")</f>
        <v/>
      </c>
      <c r="B68" s="10">
        <f>IF(A68="","",EDATE($B$11,47))</f>
        <v/>
      </c>
      <c r="C68" s="11">
        <f>IF(A68="","",IF(AND(48=$B$7,$B$8=0),ROUND($B$14-$B$15*($B$7-1),2),$B$15))</f>
        <v/>
      </c>
      <c r="D68" s="11">
        <f>IF(A68="","",$B$12)</f>
        <v/>
      </c>
      <c r="E68" s="11">
        <f>IF(A68="","",C68+D68)</f>
        <v/>
      </c>
      <c r="F68" s="4" t="n"/>
      <c r="G68" s="7" t="n"/>
      <c r="H68" s="11">
        <f>IF(A68="","",$B$16-(SUM(F$19:F68)-SUMIF(F$19:F68,"&gt;0",D$19:D68)))</f>
        <v/>
      </c>
      <c r="I68">
        <f>IF(A68="","",IF(F68&gt;=E68,"Pagado",IF(B68&lt;TODAY(),IF(F68&gt;0,"Pago parcial vencido","Vencido"),IF(F68&gt;0,"Pago parcial","Por vencer"))))</f>
        <v/>
      </c>
    </row>
    <row r="69">
      <c r="A69">
        <f>IF(49&lt;=$B$7,"Mensualidad "&amp;49&amp;" de "&amp;$B$7,"")</f>
        <v/>
      </c>
      <c r="B69" s="10">
        <f>IF(A69="","",EDATE($B$11,48))</f>
        <v/>
      </c>
      <c r="C69" s="11">
        <f>IF(A69="","",IF(AND(49=$B$7,$B$8=0),ROUND($B$14-$B$15*($B$7-1),2),$B$15))</f>
        <v/>
      </c>
      <c r="D69" s="11">
        <f>IF(A69="","",$B$12)</f>
        <v/>
      </c>
      <c r="E69" s="11">
        <f>IF(A69="","",C69+D69)</f>
        <v/>
      </c>
      <c r="F69" s="4" t="n"/>
      <c r="G69" s="7" t="n"/>
      <c r="H69" s="11">
        <f>IF(A69="","",$B$16-(SUM(F$19:F69)-SUMIF(F$19:F69,"&gt;0",D$19:D69)))</f>
        <v/>
      </c>
      <c r="I69">
        <f>IF(A69="","",IF(F69&gt;=E69,"Pagado",IF(B69&lt;TODAY(),IF(F69&gt;0,"Pago parcial vencido","Vencido"),IF(F69&gt;0,"Pago parcial","Por vencer"))))</f>
        <v/>
      </c>
    </row>
    <row r="70">
      <c r="A70">
        <f>IF(50&lt;=$B$7,"Mensualidad "&amp;50&amp;" de "&amp;$B$7,"")</f>
        <v/>
      </c>
      <c r="B70" s="10">
        <f>IF(A70="","",EDATE($B$11,49))</f>
        <v/>
      </c>
      <c r="C70" s="11">
        <f>IF(A70="","",IF(AND(50=$B$7,$B$8=0),ROUND($B$14-$B$15*($B$7-1),2),$B$15))</f>
        <v/>
      </c>
      <c r="D70" s="11">
        <f>IF(A70="","",$B$12)</f>
        <v/>
      </c>
      <c r="E70" s="11">
        <f>IF(A70="","",C70+D70)</f>
        <v/>
      </c>
      <c r="F70" s="4" t="n"/>
      <c r="G70" s="7" t="n"/>
      <c r="H70" s="11">
        <f>IF(A70="","",$B$16-(SUM(F$19:F70)-SUMIF(F$19:F70,"&gt;0",D$19:D70)))</f>
        <v/>
      </c>
      <c r="I70">
        <f>IF(A70="","",IF(F70&gt;=E70,"Pagado",IF(B70&lt;TODAY(),IF(F70&gt;0,"Pago parcial vencido","Vencido"),IF(F70&gt;0,"Pago parcial","Por vencer"))))</f>
        <v/>
      </c>
    </row>
    <row r="71">
      <c r="A71">
        <f>IF(51&lt;=$B$7,"Mensualidad "&amp;51&amp;" de "&amp;$B$7,"")</f>
        <v/>
      </c>
      <c r="B71" s="10">
        <f>IF(A71="","",EDATE($B$11,50))</f>
        <v/>
      </c>
      <c r="C71" s="11">
        <f>IF(A71="","",IF(AND(51=$B$7,$B$8=0),ROUND($B$14-$B$15*($B$7-1),2),$B$15))</f>
        <v/>
      </c>
      <c r="D71" s="11">
        <f>IF(A71="","",$B$12)</f>
        <v/>
      </c>
      <c r="E71" s="11">
        <f>IF(A71="","",C71+D71)</f>
        <v/>
      </c>
      <c r="F71" s="4" t="n"/>
      <c r="G71" s="7" t="n"/>
      <c r="H71" s="11">
        <f>IF(A71="","",$B$16-(SUM(F$19:F71)-SUMIF(F$19:F71,"&gt;0",D$19:D71)))</f>
        <v/>
      </c>
      <c r="I71">
        <f>IF(A71="","",IF(F71&gt;=E71,"Pagado",IF(B71&lt;TODAY(),IF(F71&gt;0,"Pago parcial vencido","Vencido"),IF(F71&gt;0,"Pago parcial","Por vencer"))))</f>
        <v/>
      </c>
    </row>
    <row r="72">
      <c r="A72">
        <f>IF(52&lt;=$B$7,"Mensualidad "&amp;52&amp;" de "&amp;$B$7,"")</f>
        <v/>
      </c>
      <c r="B72" s="10">
        <f>IF(A72="","",EDATE($B$11,51))</f>
        <v/>
      </c>
      <c r="C72" s="11">
        <f>IF(A72="","",IF(AND(52=$B$7,$B$8=0),ROUND($B$14-$B$15*($B$7-1),2),$B$15))</f>
        <v/>
      </c>
      <c r="D72" s="11">
        <f>IF(A72="","",$B$12)</f>
        <v/>
      </c>
      <c r="E72" s="11">
        <f>IF(A72="","",C72+D72)</f>
        <v/>
      </c>
      <c r="F72" s="4" t="n"/>
      <c r="G72" s="7" t="n"/>
      <c r="H72" s="11">
        <f>IF(A72="","",$B$16-(SUM(F$19:F72)-SUMIF(F$19:F72,"&gt;0",D$19:D72)))</f>
        <v/>
      </c>
      <c r="I72">
        <f>IF(A72="","",IF(F72&gt;=E72,"Pagado",IF(B72&lt;TODAY(),IF(F72&gt;0,"Pago parcial vencido","Vencido"),IF(F72&gt;0,"Pago parcial","Por vencer"))))</f>
        <v/>
      </c>
    </row>
    <row r="73">
      <c r="A73">
        <f>IF(53&lt;=$B$7,"Mensualidad "&amp;53&amp;" de "&amp;$B$7,"")</f>
        <v/>
      </c>
      <c r="B73" s="10">
        <f>IF(A73="","",EDATE($B$11,52))</f>
        <v/>
      </c>
      <c r="C73" s="11">
        <f>IF(A73="","",IF(AND(53=$B$7,$B$8=0),ROUND($B$14-$B$15*($B$7-1),2),$B$15))</f>
        <v/>
      </c>
      <c r="D73" s="11">
        <f>IF(A73="","",$B$12)</f>
        <v/>
      </c>
      <c r="E73" s="11">
        <f>IF(A73="","",C73+D73)</f>
        <v/>
      </c>
      <c r="F73" s="4" t="n"/>
      <c r="G73" s="7" t="n"/>
      <c r="H73" s="11">
        <f>IF(A73="","",$B$16-(SUM(F$19:F73)-SUMIF(F$19:F73,"&gt;0",D$19:D73)))</f>
        <v/>
      </c>
      <c r="I73">
        <f>IF(A73="","",IF(F73&gt;=E73,"Pagado",IF(B73&lt;TODAY(),IF(F73&gt;0,"Pago parcial vencido","Vencido"),IF(F73&gt;0,"Pago parcial","Por vencer"))))</f>
        <v/>
      </c>
    </row>
    <row r="74">
      <c r="A74">
        <f>IF(54&lt;=$B$7,"Mensualidad "&amp;54&amp;" de "&amp;$B$7,"")</f>
        <v/>
      </c>
      <c r="B74" s="10">
        <f>IF(A74="","",EDATE($B$11,53))</f>
        <v/>
      </c>
      <c r="C74" s="11">
        <f>IF(A74="","",IF(AND(54=$B$7,$B$8=0),ROUND($B$14-$B$15*($B$7-1),2),$B$15))</f>
        <v/>
      </c>
      <c r="D74" s="11">
        <f>IF(A74="","",$B$12)</f>
        <v/>
      </c>
      <c r="E74" s="11">
        <f>IF(A74="","",C74+D74)</f>
        <v/>
      </c>
      <c r="F74" s="4" t="n"/>
      <c r="G74" s="7" t="n"/>
      <c r="H74" s="11">
        <f>IF(A74="","",$B$16-(SUM(F$19:F74)-SUMIF(F$19:F74,"&gt;0",D$19:D74)))</f>
        <v/>
      </c>
      <c r="I74">
        <f>IF(A74="","",IF(F74&gt;=E74,"Pagado",IF(B74&lt;TODAY(),IF(F74&gt;0,"Pago parcial vencido","Vencido"),IF(F74&gt;0,"Pago parcial","Por vencer"))))</f>
        <v/>
      </c>
    </row>
    <row r="75">
      <c r="A75">
        <f>IF(55&lt;=$B$7,"Mensualidad "&amp;55&amp;" de "&amp;$B$7,"")</f>
        <v/>
      </c>
      <c r="B75" s="10">
        <f>IF(A75="","",EDATE($B$11,54))</f>
        <v/>
      </c>
      <c r="C75" s="11">
        <f>IF(A75="","",IF(AND(55=$B$7,$B$8=0),ROUND($B$14-$B$15*($B$7-1),2),$B$15))</f>
        <v/>
      </c>
      <c r="D75" s="11">
        <f>IF(A75="","",$B$12)</f>
        <v/>
      </c>
      <c r="E75" s="11">
        <f>IF(A75="","",C75+D75)</f>
        <v/>
      </c>
      <c r="F75" s="4" t="n"/>
      <c r="G75" s="7" t="n"/>
      <c r="H75" s="11">
        <f>IF(A75="","",$B$16-(SUM(F$19:F75)-SUMIF(F$19:F75,"&gt;0",D$19:D75)))</f>
        <v/>
      </c>
      <c r="I75">
        <f>IF(A75="","",IF(F75&gt;=E75,"Pagado",IF(B75&lt;TODAY(),IF(F75&gt;0,"Pago parcial vencido","Vencido"),IF(F75&gt;0,"Pago parcial","Por vencer"))))</f>
        <v/>
      </c>
    </row>
    <row r="76">
      <c r="A76">
        <f>IF(56&lt;=$B$7,"Mensualidad "&amp;56&amp;" de "&amp;$B$7,"")</f>
        <v/>
      </c>
      <c r="B76" s="10">
        <f>IF(A76="","",EDATE($B$11,55))</f>
        <v/>
      </c>
      <c r="C76" s="11">
        <f>IF(A76="","",IF(AND(56=$B$7,$B$8=0),ROUND($B$14-$B$15*($B$7-1),2),$B$15))</f>
        <v/>
      </c>
      <c r="D76" s="11">
        <f>IF(A76="","",$B$12)</f>
        <v/>
      </c>
      <c r="E76" s="11">
        <f>IF(A76="","",C76+D76)</f>
        <v/>
      </c>
      <c r="F76" s="4" t="n"/>
      <c r="G76" s="7" t="n"/>
      <c r="H76" s="11">
        <f>IF(A76="","",$B$16-(SUM(F$19:F76)-SUMIF(F$19:F76,"&gt;0",D$19:D76)))</f>
        <v/>
      </c>
      <c r="I76">
        <f>IF(A76="","",IF(F76&gt;=E76,"Pagado",IF(B76&lt;TODAY(),IF(F76&gt;0,"Pago parcial vencido","Vencido"),IF(F76&gt;0,"Pago parcial","Por vencer"))))</f>
        <v/>
      </c>
    </row>
    <row r="77">
      <c r="A77">
        <f>IF(57&lt;=$B$7,"Mensualidad "&amp;57&amp;" de "&amp;$B$7,"")</f>
        <v/>
      </c>
      <c r="B77" s="10">
        <f>IF(A77="","",EDATE($B$11,56))</f>
        <v/>
      </c>
      <c r="C77" s="11">
        <f>IF(A77="","",IF(AND(57=$B$7,$B$8=0),ROUND($B$14-$B$15*($B$7-1),2),$B$15))</f>
        <v/>
      </c>
      <c r="D77" s="11">
        <f>IF(A77="","",$B$12)</f>
        <v/>
      </c>
      <c r="E77" s="11">
        <f>IF(A77="","",C77+D77)</f>
        <v/>
      </c>
      <c r="F77" s="4" t="n"/>
      <c r="G77" s="7" t="n"/>
      <c r="H77" s="11">
        <f>IF(A77="","",$B$16-(SUM(F$19:F77)-SUMIF(F$19:F77,"&gt;0",D$19:D77)))</f>
        <v/>
      </c>
      <c r="I77">
        <f>IF(A77="","",IF(F77&gt;=E77,"Pagado",IF(B77&lt;TODAY(),IF(F77&gt;0,"Pago parcial vencido","Vencido"),IF(F77&gt;0,"Pago parcial","Por vencer"))))</f>
        <v/>
      </c>
    </row>
    <row r="78">
      <c r="A78">
        <f>IF(58&lt;=$B$7,"Mensualidad "&amp;58&amp;" de "&amp;$B$7,"")</f>
        <v/>
      </c>
      <c r="B78" s="10">
        <f>IF(A78="","",EDATE($B$11,57))</f>
        <v/>
      </c>
      <c r="C78" s="11">
        <f>IF(A78="","",IF(AND(58=$B$7,$B$8=0),ROUND($B$14-$B$15*($B$7-1),2),$B$15))</f>
        <v/>
      </c>
      <c r="D78" s="11">
        <f>IF(A78="","",$B$12)</f>
        <v/>
      </c>
      <c r="E78" s="11">
        <f>IF(A78="","",C78+D78)</f>
        <v/>
      </c>
      <c r="F78" s="4" t="n"/>
      <c r="G78" s="7" t="n"/>
      <c r="H78" s="11">
        <f>IF(A78="","",$B$16-(SUM(F$19:F78)-SUMIF(F$19:F78,"&gt;0",D$19:D78)))</f>
        <v/>
      </c>
      <c r="I78">
        <f>IF(A78="","",IF(F78&gt;=E78,"Pagado",IF(B78&lt;TODAY(),IF(F78&gt;0,"Pago parcial vencido","Vencido"),IF(F78&gt;0,"Pago parcial","Por vencer"))))</f>
        <v/>
      </c>
    </row>
    <row r="79">
      <c r="A79">
        <f>IF(59&lt;=$B$7,"Mensualidad "&amp;59&amp;" de "&amp;$B$7,"")</f>
        <v/>
      </c>
      <c r="B79" s="10">
        <f>IF(A79="","",EDATE($B$11,58))</f>
        <v/>
      </c>
      <c r="C79" s="11">
        <f>IF(A79="","",IF(AND(59=$B$7,$B$8=0),ROUND($B$14-$B$15*($B$7-1),2),$B$15))</f>
        <v/>
      </c>
      <c r="D79" s="11">
        <f>IF(A79="","",$B$12)</f>
        <v/>
      </c>
      <c r="E79" s="11">
        <f>IF(A79="","",C79+D79)</f>
        <v/>
      </c>
      <c r="F79" s="4" t="n"/>
      <c r="G79" s="7" t="n"/>
      <c r="H79" s="11">
        <f>IF(A79="","",$B$16-(SUM(F$19:F79)-SUMIF(F$19:F79,"&gt;0",D$19:D79)))</f>
        <v/>
      </c>
      <c r="I79">
        <f>IF(A79="","",IF(F79&gt;=E79,"Pagado",IF(B79&lt;TODAY(),IF(F79&gt;0,"Pago parcial vencido","Vencido"),IF(F79&gt;0,"Pago parcial","Por vencer"))))</f>
        <v/>
      </c>
    </row>
    <row r="80">
      <c r="A80">
        <f>IF(60&lt;=$B$7,"Mensualidad "&amp;60&amp;" de "&amp;$B$7,"")</f>
        <v/>
      </c>
      <c r="B80" s="10">
        <f>IF(A80="","",EDATE($B$11,59))</f>
        <v/>
      </c>
      <c r="C80" s="11">
        <f>IF(A80="","",IF(AND(60=$B$7,$B$8=0),ROUND($B$14-$B$15*($B$7-1),2),$B$15))</f>
        <v/>
      </c>
      <c r="D80" s="11">
        <f>IF(A80="","",$B$12)</f>
        <v/>
      </c>
      <c r="E80" s="11">
        <f>IF(A80="","",C80+D80)</f>
        <v/>
      </c>
      <c r="F80" s="4" t="n"/>
      <c r="G80" s="7" t="n"/>
      <c r="H80" s="11">
        <f>IF(A80="","",$B$16-(SUM(F$19:F80)-SUMIF(F$19:F80,"&gt;0",D$19:D80)))</f>
        <v/>
      </c>
      <c r="I80">
        <f>IF(A80="","",IF(F80&gt;=E80,"Pagado",IF(B80&lt;TODAY(),IF(F80&gt;0,"Pago parcial vencido","Vencido"),IF(F80&gt;0,"Pago parcial","Por vencer"))))</f>
        <v/>
      </c>
    </row>
    <row r="81">
      <c r="A81">
        <f>IF(61&lt;=$B$7,"Mensualidad "&amp;61&amp;" de "&amp;$B$7,"")</f>
        <v/>
      </c>
      <c r="B81" s="10">
        <f>IF(A81="","",EDATE($B$11,60))</f>
        <v/>
      </c>
      <c r="C81" s="11">
        <f>IF(A81="","",IF(AND(61=$B$7,$B$8=0),ROUND($B$14-$B$15*($B$7-1),2),$B$15))</f>
        <v/>
      </c>
      <c r="D81" s="11">
        <f>IF(A81="","",$B$12)</f>
        <v/>
      </c>
      <c r="E81" s="11">
        <f>IF(A81="","",C81+D81)</f>
        <v/>
      </c>
      <c r="F81" s="4" t="n"/>
      <c r="G81" s="7" t="n"/>
      <c r="H81" s="11">
        <f>IF(A81="","",$B$16-(SUM(F$19:F81)-SUMIF(F$19:F81,"&gt;0",D$19:D81)))</f>
        <v/>
      </c>
      <c r="I81">
        <f>IF(A81="","",IF(F81&gt;=E81,"Pagado",IF(B81&lt;TODAY(),IF(F81&gt;0,"Pago parcial vencido","Vencido"),IF(F81&gt;0,"Pago parcial","Por vencer"))))</f>
        <v/>
      </c>
    </row>
    <row r="82">
      <c r="A82">
        <f>IF(62&lt;=$B$7,"Mensualidad "&amp;62&amp;" de "&amp;$B$7,"")</f>
        <v/>
      </c>
      <c r="B82" s="10">
        <f>IF(A82="","",EDATE($B$11,61))</f>
        <v/>
      </c>
      <c r="C82" s="11">
        <f>IF(A82="","",IF(AND(62=$B$7,$B$8=0),ROUND($B$14-$B$15*($B$7-1),2),$B$15))</f>
        <v/>
      </c>
      <c r="D82" s="11">
        <f>IF(A82="","",$B$12)</f>
        <v/>
      </c>
      <c r="E82" s="11">
        <f>IF(A82="","",C82+D82)</f>
        <v/>
      </c>
      <c r="F82" s="4" t="n"/>
      <c r="G82" s="7" t="n"/>
      <c r="H82" s="11">
        <f>IF(A82="","",$B$16-(SUM(F$19:F82)-SUMIF(F$19:F82,"&gt;0",D$19:D82)))</f>
        <v/>
      </c>
      <c r="I82">
        <f>IF(A82="","",IF(F82&gt;=E82,"Pagado",IF(B82&lt;TODAY(),IF(F82&gt;0,"Pago parcial vencido","Vencido"),IF(F82&gt;0,"Pago parcial","Por vencer"))))</f>
        <v/>
      </c>
    </row>
    <row r="83">
      <c r="A83">
        <f>IF(63&lt;=$B$7,"Mensualidad "&amp;63&amp;" de "&amp;$B$7,"")</f>
        <v/>
      </c>
      <c r="B83" s="10">
        <f>IF(A83="","",EDATE($B$11,62))</f>
        <v/>
      </c>
      <c r="C83" s="11">
        <f>IF(A83="","",IF(AND(63=$B$7,$B$8=0),ROUND($B$14-$B$15*($B$7-1),2),$B$15))</f>
        <v/>
      </c>
      <c r="D83" s="11">
        <f>IF(A83="","",$B$12)</f>
        <v/>
      </c>
      <c r="E83" s="11">
        <f>IF(A83="","",C83+D83)</f>
        <v/>
      </c>
      <c r="F83" s="4" t="n"/>
      <c r="G83" s="7" t="n"/>
      <c r="H83" s="11">
        <f>IF(A83="","",$B$16-(SUM(F$19:F83)-SUMIF(F$19:F83,"&gt;0",D$19:D83)))</f>
        <v/>
      </c>
      <c r="I83">
        <f>IF(A83="","",IF(F83&gt;=E83,"Pagado",IF(B83&lt;TODAY(),IF(F83&gt;0,"Pago parcial vencido","Vencido"),IF(F83&gt;0,"Pago parcial","Por vencer"))))</f>
        <v/>
      </c>
    </row>
    <row r="84">
      <c r="A84">
        <f>IF(64&lt;=$B$7,"Mensualidad "&amp;64&amp;" de "&amp;$B$7,"")</f>
        <v/>
      </c>
      <c r="B84" s="10">
        <f>IF(A84="","",EDATE($B$11,63))</f>
        <v/>
      </c>
      <c r="C84" s="11">
        <f>IF(A84="","",IF(AND(64=$B$7,$B$8=0),ROUND($B$14-$B$15*($B$7-1),2),$B$15))</f>
        <v/>
      </c>
      <c r="D84" s="11">
        <f>IF(A84="","",$B$12)</f>
        <v/>
      </c>
      <c r="E84" s="11">
        <f>IF(A84="","",C84+D84)</f>
        <v/>
      </c>
      <c r="F84" s="4" t="n"/>
      <c r="G84" s="7" t="n"/>
      <c r="H84" s="11">
        <f>IF(A84="","",$B$16-(SUM(F$19:F84)-SUMIF(F$19:F84,"&gt;0",D$19:D84)))</f>
        <v/>
      </c>
      <c r="I84">
        <f>IF(A84="","",IF(F84&gt;=E84,"Pagado",IF(B84&lt;TODAY(),IF(F84&gt;0,"Pago parcial vencido","Vencido"),IF(F84&gt;0,"Pago parcial","Por vencer"))))</f>
        <v/>
      </c>
    </row>
    <row r="85">
      <c r="A85">
        <f>IF(65&lt;=$B$7,"Mensualidad "&amp;65&amp;" de "&amp;$B$7,"")</f>
        <v/>
      </c>
      <c r="B85" s="10">
        <f>IF(A85="","",EDATE($B$11,64))</f>
        <v/>
      </c>
      <c r="C85" s="11">
        <f>IF(A85="","",IF(AND(65=$B$7,$B$8=0),ROUND($B$14-$B$15*($B$7-1),2),$B$15))</f>
        <v/>
      </c>
      <c r="D85" s="11">
        <f>IF(A85="","",$B$12)</f>
        <v/>
      </c>
      <c r="E85" s="11">
        <f>IF(A85="","",C85+D85)</f>
        <v/>
      </c>
      <c r="F85" s="4" t="n"/>
      <c r="G85" s="7" t="n"/>
      <c r="H85" s="11">
        <f>IF(A85="","",$B$16-(SUM(F$19:F85)-SUMIF(F$19:F85,"&gt;0",D$19:D85)))</f>
        <v/>
      </c>
      <c r="I85">
        <f>IF(A85="","",IF(F85&gt;=E85,"Pagado",IF(B85&lt;TODAY(),IF(F85&gt;0,"Pago parcial vencido","Vencido"),IF(F85&gt;0,"Pago parcial","Por vencer"))))</f>
        <v/>
      </c>
    </row>
    <row r="86">
      <c r="A86">
        <f>IF(66&lt;=$B$7,"Mensualidad "&amp;66&amp;" de "&amp;$B$7,"")</f>
        <v/>
      </c>
      <c r="B86" s="10">
        <f>IF(A86="","",EDATE($B$11,65))</f>
        <v/>
      </c>
      <c r="C86" s="11">
        <f>IF(A86="","",IF(AND(66=$B$7,$B$8=0),ROUND($B$14-$B$15*($B$7-1),2),$B$15))</f>
        <v/>
      </c>
      <c r="D86" s="11">
        <f>IF(A86="","",$B$12)</f>
        <v/>
      </c>
      <c r="E86" s="11">
        <f>IF(A86="","",C86+D86)</f>
        <v/>
      </c>
      <c r="F86" s="4" t="n"/>
      <c r="G86" s="7" t="n"/>
      <c r="H86" s="11">
        <f>IF(A86="","",$B$16-(SUM(F$19:F86)-SUMIF(F$19:F86,"&gt;0",D$19:D86)))</f>
        <v/>
      </c>
      <c r="I86">
        <f>IF(A86="","",IF(F86&gt;=E86,"Pagado",IF(B86&lt;TODAY(),IF(F86&gt;0,"Pago parcial vencido","Vencido"),IF(F86&gt;0,"Pago parcial","Por vencer"))))</f>
        <v/>
      </c>
    </row>
    <row r="87">
      <c r="A87">
        <f>IF(67&lt;=$B$7,"Mensualidad "&amp;67&amp;" de "&amp;$B$7,"")</f>
        <v/>
      </c>
      <c r="B87" s="10">
        <f>IF(A87="","",EDATE($B$11,66))</f>
        <v/>
      </c>
      <c r="C87" s="11">
        <f>IF(A87="","",IF(AND(67=$B$7,$B$8=0),ROUND($B$14-$B$15*($B$7-1),2),$B$15))</f>
        <v/>
      </c>
      <c r="D87" s="11">
        <f>IF(A87="","",$B$12)</f>
        <v/>
      </c>
      <c r="E87" s="11">
        <f>IF(A87="","",C87+D87)</f>
        <v/>
      </c>
      <c r="F87" s="4" t="n"/>
      <c r="G87" s="7" t="n"/>
      <c r="H87" s="11">
        <f>IF(A87="","",$B$16-(SUM(F$19:F87)-SUMIF(F$19:F87,"&gt;0",D$19:D87)))</f>
        <v/>
      </c>
      <c r="I87">
        <f>IF(A87="","",IF(F87&gt;=E87,"Pagado",IF(B87&lt;TODAY(),IF(F87&gt;0,"Pago parcial vencido","Vencido"),IF(F87&gt;0,"Pago parcial","Por vencer"))))</f>
        <v/>
      </c>
    </row>
    <row r="88">
      <c r="A88">
        <f>IF(68&lt;=$B$7,"Mensualidad "&amp;68&amp;" de "&amp;$B$7,"")</f>
        <v/>
      </c>
      <c r="B88" s="10">
        <f>IF(A88="","",EDATE($B$11,67))</f>
        <v/>
      </c>
      <c r="C88" s="11">
        <f>IF(A88="","",IF(AND(68=$B$7,$B$8=0),ROUND($B$14-$B$15*($B$7-1),2),$B$15))</f>
        <v/>
      </c>
      <c r="D88" s="11">
        <f>IF(A88="","",$B$12)</f>
        <v/>
      </c>
      <c r="E88" s="11">
        <f>IF(A88="","",C88+D88)</f>
        <v/>
      </c>
      <c r="F88" s="4" t="n"/>
      <c r="G88" s="7" t="n"/>
      <c r="H88" s="11">
        <f>IF(A88="","",$B$16-(SUM(F$19:F88)-SUMIF(F$19:F88,"&gt;0",D$19:D88)))</f>
        <v/>
      </c>
      <c r="I88">
        <f>IF(A88="","",IF(F88&gt;=E88,"Pagado",IF(B88&lt;TODAY(),IF(F88&gt;0,"Pago parcial vencido","Vencido"),IF(F88&gt;0,"Pago parcial","Por vencer"))))</f>
        <v/>
      </c>
    </row>
    <row r="89">
      <c r="A89">
        <f>IF(69&lt;=$B$7,"Mensualidad "&amp;69&amp;" de "&amp;$B$7,"")</f>
        <v/>
      </c>
      <c r="B89" s="10">
        <f>IF(A89="","",EDATE($B$11,68))</f>
        <v/>
      </c>
      <c r="C89" s="11">
        <f>IF(A89="","",IF(AND(69=$B$7,$B$8=0),ROUND($B$14-$B$15*($B$7-1),2),$B$15))</f>
        <v/>
      </c>
      <c r="D89" s="11">
        <f>IF(A89="","",$B$12)</f>
        <v/>
      </c>
      <c r="E89" s="11">
        <f>IF(A89="","",C89+D89)</f>
        <v/>
      </c>
      <c r="F89" s="4" t="n"/>
      <c r="G89" s="7" t="n"/>
      <c r="H89" s="11">
        <f>IF(A89="","",$B$16-(SUM(F$19:F89)-SUMIF(F$19:F89,"&gt;0",D$19:D89)))</f>
        <v/>
      </c>
      <c r="I89">
        <f>IF(A89="","",IF(F89&gt;=E89,"Pagado",IF(B89&lt;TODAY(),IF(F89&gt;0,"Pago parcial vencido","Vencido"),IF(F89&gt;0,"Pago parcial","Por vencer"))))</f>
        <v/>
      </c>
    </row>
    <row r="90">
      <c r="A90">
        <f>IF(70&lt;=$B$7,"Mensualidad "&amp;70&amp;" de "&amp;$B$7,"")</f>
        <v/>
      </c>
      <c r="B90" s="10">
        <f>IF(A90="","",EDATE($B$11,69))</f>
        <v/>
      </c>
      <c r="C90" s="11">
        <f>IF(A90="","",IF(AND(70=$B$7,$B$8=0),ROUND($B$14-$B$15*($B$7-1),2),$B$15))</f>
        <v/>
      </c>
      <c r="D90" s="11">
        <f>IF(A90="","",$B$12)</f>
        <v/>
      </c>
      <c r="E90" s="11">
        <f>IF(A90="","",C90+D90)</f>
        <v/>
      </c>
      <c r="F90" s="4" t="n"/>
      <c r="G90" s="7" t="n"/>
      <c r="H90" s="11">
        <f>IF(A90="","",$B$16-(SUM(F$19:F90)-SUMIF(F$19:F90,"&gt;0",D$19:D90)))</f>
        <v/>
      </c>
      <c r="I90">
        <f>IF(A90="","",IF(F90&gt;=E90,"Pagado",IF(B90&lt;TODAY(),IF(F90&gt;0,"Pago parcial vencido","Vencido"),IF(F90&gt;0,"Pago parcial","Por vencer"))))</f>
        <v/>
      </c>
    </row>
    <row r="91">
      <c r="A91">
        <f>IF(71&lt;=$B$7,"Mensualidad "&amp;71&amp;" de "&amp;$B$7,"")</f>
        <v/>
      </c>
      <c r="B91" s="10">
        <f>IF(A91="","",EDATE($B$11,70))</f>
        <v/>
      </c>
      <c r="C91" s="11">
        <f>IF(A91="","",IF(AND(71=$B$7,$B$8=0),ROUND($B$14-$B$15*($B$7-1),2),$B$15))</f>
        <v/>
      </c>
      <c r="D91" s="11">
        <f>IF(A91="","",$B$12)</f>
        <v/>
      </c>
      <c r="E91" s="11">
        <f>IF(A91="","",C91+D91)</f>
        <v/>
      </c>
      <c r="F91" s="4" t="n"/>
      <c r="G91" s="7" t="n"/>
      <c r="H91" s="11">
        <f>IF(A91="","",$B$16-(SUM(F$19:F91)-SUMIF(F$19:F91,"&gt;0",D$19:D91)))</f>
        <v/>
      </c>
      <c r="I91">
        <f>IF(A91="","",IF(F91&gt;=E91,"Pagado",IF(B91&lt;TODAY(),IF(F91&gt;0,"Pago parcial vencido","Vencido"),IF(F91&gt;0,"Pago parcial","Por vencer"))))</f>
        <v/>
      </c>
    </row>
    <row r="92">
      <c r="A92">
        <f>IF(72&lt;=$B$7,"Mensualidad "&amp;72&amp;" de "&amp;$B$7,"")</f>
        <v/>
      </c>
      <c r="B92" s="10">
        <f>IF(A92="","",EDATE($B$11,71))</f>
        <v/>
      </c>
      <c r="C92" s="11">
        <f>IF(A92="","",IF(AND(72=$B$7,$B$8=0),ROUND($B$14-$B$15*($B$7-1),2),$B$15))</f>
        <v/>
      </c>
      <c r="D92" s="11">
        <f>IF(A92="","",$B$12)</f>
        <v/>
      </c>
      <c r="E92" s="11">
        <f>IF(A92="","",C92+D92)</f>
        <v/>
      </c>
      <c r="F92" s="4" t="n"/>
      <c r="G92" s="7" t="n"/>
      <c r="H92" s="11">
        <f>IF(A92="","",$B$16-(SUM(F$19:F92)-SUMIF(F$19:F92,"&gt;0",D$19:D92)))</f>
        <v/>
      </c>
      <c r="I92">
        <f>IF(A92="","",IF(F92&gt;=E92,"Pagado",IF(B92&lt;TODAY(),IF(F92&gt;0,"Pago parcial vencido","Vencido"),IF(F92&gt;0,"Pago parcial","Por vencer"))))</f>
        <v/>
      </c>
    </row>
    <row r="93">
      <c r="A93">
        <f>IF(73&lt;=$B$7,"Mensualidad "&amp;73&amp;" de "&amp;$B$7,"")</f>
        <v/>
      </c>
      <c r="B93" s="10">
        <f>IF(A93="","",EDATE($B$11,72))</f>
        <v/>
      </c>
      <c r="C93" s="11">
        <f>IF(A93="","",IF(AND(73=$B$7,$B$8=0),ROUND($B$14-$B$15*($B$7-1),2),$B$15))</f>
        <v/>
      </c>
      <c r="D93" s="11">
        <f>IF(A93="","",$B$12)</f>
        <v/>
      </c>
      <c r="E93" s="11">
        <f>IF(A93="","",C93+D93)</f>
        <v/>
      </c>
      <c r="F93" s="4" t="n"/>
      <c r="G93" s="7" t="n"/>
      <c r="H93" s="11">
        <f>IF(A93="","",$B$16-(SUM(F$19:F93)-SUMIF(F$19:F93,"&gt;0",D$19:D93)))</f>
        <v/>
      </c>
      <c r="I93">
        <f>IF(A93="","",IF(F93&gt;=E93,"Pagado",IF(B93&lt;TODAY(),IF(F93&gt;0,"Pago parcial vencido","Vencido"),IF(F93&gt;0,"Pago parcial","Por vencer"))))</f>
        <v/>
      </c>
    </row>
    <row r="94">
      <c r="A94">
        <f>IF(74&lt;=$B$7,"Mensualidad "&amp;74&amp;" de "&amp;$B$7,"")</f>
        <v/>
      </c>
      <c r="B94" s="10">
        <f>IF(A94="","",EDATE($B$11,73))</f>
        <v/>
      </c>
      <c r="C94" s="11">
        <f>IF(A94="","",IF(AND(74=$B$7,$B$8=0),ROUND($B$14-$B$15*($B$7-1),2),$B$15))</f>
        <v/>
      </c>
      <c r="D94" s="11">
        <f>IF(A94="","",$B$12)</f>
        <v/>
      </c>
      <c r="E94" s="11">
        <f>IF(A94="","",C94+D94)</f>
        <v/>
      </c>
      <c r="F94" s="4" t="n"/>
      <c r="G94" s="7" t="n"/>
      <c r="H94" s="11">
        <f>IF(A94="","",$B$16-(SUM(F$19:F94)-SUMIF(F$19:F94,"&gt;0",D$19:D94)))</f>
        <v/>
      </c>
      <c r="I94">
        <f>IF(A94="","",IF(F94&gt;=E94,"Pagado",IF(B94&lt;TODAY(),IF(F94&gt;0,"Pago parcial vencido","Vencido"),IF(F94&gt;0,"Pago parcial","Por vencer"))))</f>
        <v/>
      </c>
    </row>
    <row r="95">
      <c r="A95">
        <f>IF(75&lt;=$B$7,"Mensualidad "&amp;75&amp;" de "&amp;$B$7,"")</f>
        <v/>
      </c>
      <c r="B95" s="10">
        <f>IF(A95="","",EDATE($B$11,74))</f>
        <v/>
      </c>
      <c r="C95" s="11">
        <f>IF(A95="","",IF(AND(75=$B$7,$B$8=0),ROUND($B$14-$B$15*($B$7-1),2),$B$15))</f>
        <v/>
      </c>
      <c r="D95" s="11">
        <f>IF(A95="","",$B$12)</f>
        <v/>
      </c>
      <c r="E95" s="11">
        <f>IF(A95="","",C95+D95)</f>
        <v/>
      </c>
      <c r="F95" s="4" t="n"/>
      <c r="G95" s="7" t="n"/>
      <c r="H95" s="11">
        <f>IF(A95="","",$B$16-(SUM(F$19:F95)-SUMIF(F$19:F95,"&gt;0",D$19:D95)))</f>
        <v/>
      </c>
      <c r="I95">
        <f>IF(A95="","",IF(F95&gt;=E95,"Pagado",IF(B95&lt;TODAY(),IF(F95&gt;0,"Pago parcial vencido","Vencido"),IF(F95&gt;0,"Pago parcial","Por vencer"))))</f>
        <v/>
      </c>
    </row>
    <row r="96">
      <c r="A96">
        <f>IF(76&lt;=$B$7,"Mensualidad "&amp;76&amp;" de "&amp;$B$7,"")</f>
        <v/>
      </c>
      <c r="B96" s="10">
        <f>IF(A96="","",EDATE($B$11,75))</f>
        <v/>
      </c>
      <c r="C96" s="11">
        <f>IF(A96="","",IF(AND(76=$B$7,$B$8=0),ROUND($B$14-$B$15*($B$7-1),2),$B$15))</f>
        <v/>
      </c>
      <c r="D96" s="11">
        <f>IF(A96="","",$B$12)</f>
        <v/>
      </c>
      <c r="E96" s="11">
        <f>IF(A96="","",C96+D96)</f>
        <v/>
      </c>
      <c r="F96" s="4" t="n"/>
      <c r="G96" s="7" t="n"/>
      <c r="H96" s="11">
        <f>IF(A96="","",$B$16-(SUM(F$19:F96)-SUMIF(F$19:F96,"&gt;0",D$19:D96)))</f>
        <v/>
      </c>
      <c r="I96">
        <f>IF(A96="","",IF(F96&gt;=E96,"Pagado",IF(B96&lt;TODAY(),IF(F96&gt;0,"Pago parcial vencido","Vencido"),IF(F96&gt;0,"Pago parcial","Por vencer"))))</f>
        <v/>
      </c>
    </row>
    <row r="97">
      <c r="A97">
        <f>IF(77&lt;=$B$7,"Mensualidad "&amp;77&amp;" de "&amp;$B$7,"")</f>
        <v/>
      </c>
      <c r="B97" s="10">
        <f>IF(A97="","",EDATE($B$11,76))</f>
        <v/>
      </c>
      <c r="C97" s="11">
        <f>IF(A97="","",IF(AND(77=$B$7,$B$8=0),ROUND($B$14-$B$15*($B$7-1),2),$B$15))</f>
        <v/>
      </c>
      <c r="D97" s="11">
        <f>IF(A97="","",$B$12)</f>
        <v/>
      </c>
      <c r="E97" s="11">
        <f>IF(A97="","",C97+D97)</f>
        <v/>
      </c>
      <c r="F97" s="4" t="n"/>
      <c r="G97" s="7" t="n"/>
      <c r="H97" s="11">
        <f>IF(A97="","",$B$16-(SUM(F$19:F97)-SUMIF(F$19:F97,"&gt;0",D$19:D97)))</f>
        <v/>
      </c>
      <c r="I97">
        <f>IF(A97="","",IF(F97&gt;=E97,"Pagado",IF(B97&lt;TODAY(),IF(F97&gt;0,"Pago parcial vencido","Vencido"),IF(F97&gt;0,"Pago parcial","Por vencer"))))</f>
        <v/>
      </c>
    </row>
    <row r="98">
      <c r="A98">
        <f>IF(78&lt;=$B$7,"Mensualidad "&amp;78&amp;" de "&amp;$B$7,"")</f>
        <v/>
      </c>
      <c r="B98" s="10">
        <f>IF(A98="","",EDATE($B$11,77))</f>
        <v/>
      </c>
      <c r="C98" s="11">
        <f>IF(A98="","",IF(AND(78=$B$7,$B$8=0),ROUND($B$14-$B$15*($B$7-1),2),$B$15))</f>
        <v/>
      </c>
      <c r="D98" s="11">
        <f>IF(A98="","",$B$12)</f>
        <v/>
      </c>
      <c r="E98" s="11">
        <f>IF(A98="","",C98+D98)</f>
        <v/>
      </c>
      <c r="F98" s="4" t="n"/>
      <c r="G98" s="7" t="n"/>
      <c r="H98" s="11">
        <f>IF(A98="","",$B$16-(SUM(F$19:F98)-SUMIF(F$19:F98,"&gt;0",D$19:D98)))</f>
        <v/>
      </c>
      <c r="I98">
        <f>IF(A98="","",IF(F98&gt;=E98,"Pagado",IF(B98&lt;TODAY(),IF(F98&gt;0,"Pago parcial vencido","Vencido"),IF(F98&gt;0,"Pago parcial","Por vencer"))))</f>
        <v/>
      </c>
    </row>
    <row r="99">
      <c r="A99">
        <f>IF(79&lt;=$B$7,"Mensualidad "&amp;79&amp;" de "&amp;$B$7,"")</f>
        <v/>
      </c>
      <c r="B99" s="10">
        <f>IF(A99="","",EDATE($B$11,78))</f>
        <v/>
      </c>
      <c r="C99" s="11">
        <f>IF(A99="","",IF(AND(79=$B$7,$B$8=0),ROUND($B$14-$B$15*($B$7-1),2),$B$15))</f>
        <v/>
      </c>
      <c r="D99" s="11">
        <f>IF(A99="","",$B$12)</f>
        <v/>
      </c>
      <c r="E99" s="11">
        <f>IF(A99="","",C99+D99)</f>
        <v/>
      </c>
      <c r="F99" s="4" t="n"/>
      <c r="G99" s="7" t="n"/>
      <c r="H99" s="11">
        <f>IF(A99="","",$B$16-(SUM(F$19:F99)-SUMIF(F$19:F99,"&gt;0",D$19:D99)))</f>
        <v/>
      </c>
      <c r="I99">
        <f>IF(A99="","",IF(F99&gt;=E99,"Pagado",IF(B99&lt;TODAY(),IF(F99&gt;0,"Pago parcial vencido","Vencido"),IF(F99&gt;0,"Pago parcial","Por vencer"))))</f>
        <v/>
      </c>
    </row>
    <row r="100">
      <c r="A100">
        <f>IF(80&lt;=$B$7,"Mensualidad "&amp;80&amp;" de "&amp;$B$7,"")</f>
        <v/>
      </c>
      <c r="B100" s="10">
        <f>IF(A100="","",EDATE($B$11,79))</f>
        <v/>
      </c>
      <c r="C100" s="11">
        <f>IF(A100="","",IF(AND(80=$B$7,$B$8=0),ROUND($B$14-$B$15*($B$7-1),2),$B$15))</f>
        <v/>
      </c>
      <c r="D100" s="11">
        <f>IF(A100="","",$B$12)</f>
        <v/>
      </c>
      <c r="E100" s="11">
        <f>IF(A100="","",C100+D100)</f>
        <v/>
      </c>
      <c r="F100" s="4" t="n"/>
      <c r="G100" s="7" t="n"/>
      <c r="H100" s="11">
        <f>IF(A100="","",$B$16-(SUM(F$19:F100)-SUMIF(F$19:F100,"&gt;0",D$19:D100)))</f>
        <v/>
      </c>
      <c r="I100">
        <f>IF(A100="","",IF(F100&gt;=E100,"Pagado",IF(B100&lt;TODAY(),IF(F100&gt;0,"Pago parcial vencido","Vencido"),IF(F100&gt;0,"Pago parcial","Por vencer"))))</f>
        <v/>
      </c>
    </row>
    <row r="101">
      <c r="A101">
        <f>IF(81&lt;=$B$7,"Mensualidad "&amp;81&amp;" de "&amp;$B$7,"")</f>
        <v/>
      </c>
      <c r="B101" s="10">
        <f>IF(A101="","",EDATE($B$11,80))</f>
        <v/>
      </c>
      <c r="C101" s="11">
        <f>IF(A101="","",IF(AND(81=$B$7,$B$8=0),ROUND($B$14-$B$15*($B$7-1),2),$B$15))</f>
        <v/>
      </c>
      <c r="D101" s="11">
        <f>IF(A101="","",$B$12)</f>
        <v/>
      </c>
      <c r="E101" s="11">
        <f>IF(A101="","",C101+D101)</f>
        <v/>
      </c>
      <c r="F101" s="4" t="n"/>
      <c r="G101" s="7" t="n"/>
      <c r="H101" s="11">
        <f>IF(A101="","",$B$16-(SUM(F$19:F101)-SUMIF(F$19:F101,"&gt;0",D$19:D101)))</f>
        <v/>
      </c>
      <c r="I101">
        <f>IF(A101="","",IF(F101&gt;=E101,"Pagado",IF(B101&lt;TODAY(),IF(F101&gt;0,"Pago parcial vencido","Vencido"),IF(F101&gt;0,"Pago parcial","Por vencer"))))</f>
        <v/>
      </c>
    </row>
    <row r="102">
      <c r="A102">
        <f>IF(82&lt;=$B$7,"Mensualidad "&amp;82&amp;" de "&amp;$B$7,"")</f>
        <v/>
      </c>
      <c r="B102" s="10">
        <f>IF(A102="","",EDATE($B$11,81))</f>
        <v/>
      </c>
      <c r="C102" s="11">
        <f>IF(A102="","",IF(AND(82=$B$7,$B$8=0),ROUND($B$14-$B$15*($B$7-1),2),$B$15))</f>
        <v/>
      </c>
      <c r="D102" s="11">
        <f>IF(A102="","",$B$12)</f>
        <v/>
      </c>
      <c r="E102" s="11">
        <f>IF(A102="","",C102+D102)</f>
        <v/>
      </c>
      <c r="F102" s="4" t="n"/>
      <c r="G102" s="7" t="n"/>
      <c r="H102" s="11">
        <f>IF(A102="","",$B$16-(SUM(F$19:F102)-SUMIF(F$19:F102,"&gt;0",D$19:D102)))</f>
        <v/>
      </c>
      <c r="I102">
        <f>IF(A102="","",IF(F102&gt;=E102,"Pagado",IF(B102&lt;TODAY(),IF(F102&gt;0,"Pago parcial vencido","Vencido"),IF(F102&gt;0,"Pago parcial","Por vencer"))))</f>
        <v/>
      </c>
    </row>
    <row r="103">
      <c r="A103">
        <f>IF(83&lt;=$B$7,"Mensualidad "&amp;83&amp;" de "&amp;$B$7,"")</f>
        <v/>
      </c>
      <c r="B103" s="10">
        <f>IF(A103="","",EDATE($B$11,82))</f>
        <v/>
      </c>
      <c r="C103" s="11">
        <f>IF(A103="","",IF(AND(83=$B$7,$B$8=0),ROUND($B$14-$B$15*($B$7-1),2),$B$15))</f>
        <v/>
      </c>
      <c r="D103" s="11">
        <f>IF(A103="","",$B$12)</f>
        <v/>
      </c>
      <c r="E103" s="11">
        <f>IF(A103="","",C103+D103)</f>
        <v/>
      </c>
      <c r="F103" s="4" t="n"/>
      <c r="G103" s="7" t="n"/>
      <c r="H103" s="11">
        <f>IF(A103="","",$B$16-(SUM(F$19:F103)-SUMIF(F$19:F103,"&gt;0",D$19:D103)))</f>
        <v/>
      </c>
      <c r="I103">
        <f>IF(A103="","",IF(F103&gt;=E103,"Pagado",IF(B103&lt;TODAY(),IF(F103&gt;0,"Pago parcial vencido","Vencido"),IF(F103&gt;0,"Pago parcial","Por vencer"))))</f>
        <v/>
      </c>
    </row>
    <row r="104">
      <c r="A104">
        <f>IF(84&lt;=$B$7,"Mensualidad "&amp;84&amp;" de "&amp;$B$7,"")</f>
        <v/>
      </c>
      <c r="B104" s="10">
        <f>IF(A104="","",EDATE($B$11,83))</f>
        <v/>
      </c>
      <c r="C104" s="11">
        <f>IF(A104="","",IF(AND(84=$B$7,$B$8=0),ROUND($B$14-$B$15*($B$7-1),2),$B$15))</f>
        <v/>
      </c>
      <c r="D104" s="11">
        <f>IF(A104="","",$B$12)</f>
        <v/>
      </c>
      <c r="E104" s="11">
        <f>IF(A104="","",C104+D104)</f>
        <v/>
      </c>
      <c r="F104" s="4" t="n"/>
      <c r="G104" s="7" t="n"/>
      <c r="H104" s="11">
        <f>IF(A104="","",$B$16-(SUM(F$19:F104)-SUMIF(F$19:F104,"&gt;0",D$19:D104)))</f>
        <v/>
      </c>
      <c r="I104">
        <f>IF(A104="","",IF(F104&gt;=E104,"Pagado",IF(B104&lt;TODAY(),IF(F104&gt;0,"Pago parcial vencido","Vencido"),IF(F104&gt;0,"Pago parcial","Por vencer"))))</f>
        <v/>
      </c>
    </row>
    <row r="105">
      <c r="A105">
        <f>IF(85&lt;=$B$7,"Mensualidad "&amp;85&amp;" de "&amp;$B$7,"")</f>
        <v/>
      </c>
      <c r="B105" s="10">
        <f>IF(A105="","",EDATE($B$11,84))</f>
        <v/>
      </c>
      <c r="C105" s="11">
        <f>IF(A105="","",IF(AND(85=$B$7,$B$8=0),ROUND($B$14-$B$15*($B$7-1),2),$B$15))</f>
        <v/>
      </c>
      <c r="D105" s="11">
        <f>IF(A105="","",$B$12)</f>
        <v/>
      </c>
      <c r="E105" s="11">
        <f>IF(A105="","",C105+D105)</f>
        <v/>
      </c>
      <c r="F105" s="4" t="n"/>
      <c r="G105" s="7" t="n"/>
      <c r="H105" s="11">
        <f>IF(A105="","",$B$16-(SUM(F$19:F105)-SUMIF(F$19:F105,"&gt;0",D$19:D105)))</f>
        <v/>
      </c>
      <c r="I105">
        <f>IF(A105="","",IF(F105&gt;=E105,"Pagado",IF(B105&lt;TODAY(),IF(F105&gt;0,"Pago parcial vencido","Vencido"),IF(F105&gt;0,"Pago parcial","Por vencer"))))</f>
        <v/>
      </c>
    </row>
    <row r="106">
      <c r="A106">
        <f>IF(86&lt;=$B$7,"Mensualidad "&amp;86&amp;" de "&amp;$B$7,"")</f>
        <v/>
      </c>
      <c r="B106" s="10">
        <f>IF(A106="","",EDATE($B$11,85))</f>
        <v/>
      </c>
      <c r="C106" s="11">
        <f>IF(A106="","",IF(AND(86=$B$7,$B$8=0),ROUND($B$14-$B$15*($B$7-1),2),$B$15))</f>
        <v/>
      </c>
      <c r="D106" s="11">
        <f>IF(A106="","",$B$12)</f>
        <v/>
      </c>
      <c r="E106" s="11">
        <f>IF(A106="","",C106+D106)</f>
        <v/>
      </c>
      <c r="F106" s="4" t="n"/>
      <c r="G106" s="7" t="n"/>
      <c r="H106" s="11">
        <f>IF(A106="","",$B$16-(SUM(F$19:F106)-SUMIF(F$19:F106,"&gt;0",D$19:D106)))</f>
        <v/>
      </c>
      <c r="I106">
        <f>IF(A106="","",IF(F106&gt;=E106,"Pagado",IF(B106&lt;TODAY(),IF(F106&gt;0,"Pago parcial vencido","Vencido"),IF(F106&gt;0,"Pago parcial","Por vencer"))))</f>
        <v/>
      </c>
    </row>
    <row r="107">
      <c r="A107">
        <f>IF(87&lt;=$B$7,"Mensualidad "&amp;87&amp;" de "&amp;$B$7,"")</f>
        <v/>
      </c>
      <c r="B107" s="10">
        <f>IF(A107="","",EDATE($B$11,86))</f>
        <v/>
      </c>
      <c r="C107" s="11">
        <f>IF(A107="","",IF(AND(87=$B$7,$B$8=0),ROUND($B$14-$B$15*($B$7-1),2),$B$15))</f>
        <v/>
      </c>
      <c r="D107" s="11">
        <f>IF(A107="","",$B$12)</f>
        <v/>
      </c>
      <c r="E107" s="11">
        <f>IF(A107="","",C107+D107)</f>
        <v/>
      </c>
      <c r="F107" s="4" t="n"/>
      <c r="G107" s="7" t="n"/>
      <c r="H107" s="11">
        <f>IF(A107="","",$B$16-(SUM(F$19:F107)-SUMIF(F$19:F107,"&gt;0",D$19:D107)))</f>
        <v/>
      </c>
      <c r="I107">
        <f>IF(A107="","",IF(F107&gt;=E107,"Pagado",IF(B107&lt;TODAY(),IF(F107&gt;0,"Pago parcial vencido","Vencido"),IF(F107&gt;0,"Pago parcial","Por vencer"))))</f>
        <v/>
      </c>
    </row>
    <row r="108">
      <c r="A108">
        <f>IF(88&lt;=$B$7,"Mensualidad "&amp;88&amp;" de "&amp;$B$7,"")</f>
        <v/>
      </c>
      <c r="B108" s="10">
        <f>IF(A108="","",EDATE($B$11,87))</f>
        <v/>
      </c>
      <c r="C108" s="11">
        <f>IF(A108="","",IF(AND(88=$B$7,$B$8=0),ROUND($B$14-$B$15*($B$7-1),2),$B$15))</f>
        <v/>
      </c>
      <c r="D108" s="11">
        <f>IF(A108="","",$B$12)</f>
        <v/>
      </c>
      <c r="E108" s="11">
        <f>IF(A108="","",C108+D108)</f>
        <v/>
      </c>
      <c r="F108" s="4" t="n"/>
      <c r="G108" s="7" t="n"/>
      <c r="H108" s="11">
        <f>IF(A108="","",$B$16-(SUM(F$19:F108)-SUMIF(F$19:F108,"&gt;0",D$19:D108)))</f>
        <v/>
      </c>
      <c r="I108">
        <f>IF(A108="","",IF(F108&gt;=E108,"Pagado",IF(B108&lt;TODAY(),IF(F108&gt;0,"Pago parcial vencido","Vencido"),IF(F108&gt;0,"Pago parcial","Por vencer"))))</f>
        <v/>
      </c>
    </row>
    <row r="109">
      <c r="A109">
        <f>IF(89&lt;=$B$7,"Mensualidad "&amp;89&amp;" de "&amp;$B$7,"")</f>
        <v/>
      </c>
      <c r="B109" s="10">
        <f>IF(A109="","",EDATE($B$11,88))</f>
        <v/>
      </c>
      <c r="C109" s="11">
        <f>IF(A109="","",IF(AND(89=$B$7,$B$8=0),ROUND($B$14-$B$15*($B$7-1),2),$B$15))</f>
        <v/>
      </c>
      <c r="D109" s="11">
        <f>IF(A109="","",$B$12)</f>
        <v/>
      </c>
      <c r="E109" s="11">
        <f>IF(A109="","",C109+D109)</f>
        <v/>
      </c>
      <c r="F109" s="4" t="n"/>
      <c r="G109" s="7" t="n"/>
      <c r="H109" s="11">
        <f>IF(A109="","",$B$16-(SUM(F$19:F109)-SUMIF(F$19:F109,"&gt;0",D$19:D109)))</f>
        <v/>
      </c>
      <c r="I109">
        <f>IF(A109="","",IF(F109&gt;=E109,"Pagado",IF(B109&lt;TODAY(),IF(F109&gt;0,"Pago parcial vencido","Vencido"),IF(F109&gt;0,"Pago parcial","Por vencer"))))</f>
        <v/>
      </c>
    </row>
    <row r="110">
      <c r="A110">
        <f>IF(90&lt;=$B$7,"Mensualidad "&amp;90&amp;" de "&amp;$B$7,"")</f>
        <v/>
      </c>
      <c r="B110" s="10">
        <f>IF(A110="","",EDATE($B$11,89))</f>
        <v/>
      </c>
      <c r="C110" s="11">
        <f>IF(A110="","",IF(AND(90=$B$7,$B$8=0),ROUND($B$14-$B$15*($B$7-1),2),$B$15))</f>
        <v/>
      </c>
      <c r="D110" s="11">
        <f>IF(A110="","",$B$12)</f>
        <v/>
      </c>
      <c r="E110" s="11">
        <f>IF(A110="","",C110+D110)</f>
        <v/>
      </c>
      <c r="F110" s="4" t="n"/>
      <c r="G110" s="7" t="n"/>
      <c r="H110" s="11">
        <f>IF(A110="","",$B$16-(SUM(F$19:F110)-SUMIF(F$19:F110,"&gt;0",D$19:D110)))</f>
        <v/>
      </c>
      <c r="I110">
        <f>IF(A110="","",IF(F110&gt;=E110,"Pagado",IF(B110&lt;TODAY(),IF(F110&gt;0,"Pago parcial vencido","Vencido"),IF(F110&gt;0,"Pago parcial","Por vencer"))))</f>
        <v/>
      </c>
    </row>
    <row r="111">
      <c r="A111">
        <f>IF(91&lt;=$B$7,"Mensualidad "&amp;91&amp;" de "&amp;$B$7,"")</f>
        <v/>
      </c>
      <c r="B111" s="10">
        <f>IF(A111="","",EDATE($B$11,90))</f>
        <v/>
      </c>
      <c r="C111" s="11">
        <f>IF(A111="","",IF(AND(91=$B$7,$B$8=0),ROUND($B$14-$B$15*($B$7-1),2),$B$15))</f>
        <v/>
      </c>
      <c r="D111" s="11">
        <f>IF(A111="","",$B$12)</f>
        <v/>
      </c>
      <c r="E111" s="11">
        <f>IF(A111="","",C111+D111)</f>
        <v/>
      </c>
      <c r="F111" s="4" t="n"/>
      <c r="G111" s="7" t="n"/>
      <c r="H111" s="11">
        <f>IF(A111="","",$B$16-(SUM(F$19:F111)-SUMIF(F$19:F111,"&gt;0",D$19:D111)))</f>
        <v/>
      </c>
      <c r="I111">
        <f>IF(A111="","",IF(F111&gt;=E111,"Pagado",IF(B111&lt;TODAY(),IF(F111&gt;0,"Pago parcial vencido","Vencido"),IF(F111&gt;0,"Pago parcial","Por vencer"))))</f>
        <v/>
      </c>
    </row>
    <row r="112">
      <c r="A112">
        <f>IF(92&lt;=$B$7,"Mensualidad "&amp;92&amp;" de "&amp;$B$7,"")</f>
        <v/>
      </c>
      <c r="B112" s="10">
        <f>IF(A112="","",EDATE($B$11,91))</f>
        <v/>
      </c>
      <c r="C112" s="11">
        <f>IF(A112="","",IF(AND(92=$B$7,$B$8=0),ROUND($B$14-$B$15*($B$7-1),2),$B$15))</f>
        <v/>
      </c>
      <c r="D112" s="11">
        <f>IF(A112="","",$B$12)</f>
        <v/>
      </c>
      <c r="E112" s="11">
        <f>IF(A112="","",C112+D112)</f>
        <v/>
      </c>
      <c r="F112" s="4" t="n"/>
      <c r="G112" s="7" t="n"/>
      <c r="H112" s="11">
        <f>IF(A112="","",$B$16-(SUM(F$19:F112)-SUMIF(F$19:F112,"&gt;0",D$19:D112)))</f>
        <v/>
      </c>
      <c r="I112">
        <f>IF(A112="","",IF(F112&gt;=E112,"Pagado",IF(B112&lt;TODAY(),IF(F112&gt;0,"Pago parcial vencido","Vencido"),IF(F112&gt;0,"Pago parcial","Por vencer"))))</f>
        <v/>
      </c>
    </row>
    <row r="113">
      <c r="A113">
        <f>IF(93&lt;=$B$7,"Mensualidad "&amp;93&amp;" de "&amp;$B$7,"")</f>
        <v/>
      </c>
      <c r="B113" s="10">
        <f>IF(A113="","",EDATE($B$11,92))</f>
        <v/>
      </c>
      <c r="C113" s="11">
        <f>IF(A113="","",IF(AND(93=$B$7,$B$8=0),ROUND($B$14-$B$15*($B$7-1),2),$B$15))</f>
        <v/>
      </c>
      <c r="D113" s="11">
        <f>IF(A113="","",$B$12)</f>
        <v/>
      </c>
      <c r="E113" s="11">
        <f>IF(A113="","",C113+D113)</f>
        <v/>
      </c>
      <c r="F113" s="4" t="n"/>
      <c r="G113" s="7" t="n"/>
      <c r="H113" s="11">
        <f>IF(A113="","",$B$16-(SUM(F$19:F113)-SUMIF(F$19:F113,"&gt;0",D$19:D113)))</f>
        <v/>
      </c>
      <c r="I113">
        <f>IF(A113="","",IF(F113&gt;=E113,"Pagado",IF(B113&lt;TODAY(),IF(F113&gt;0,"Pago parcial vencido","Vencido"),IF(F113&gt;0,"Pago parcial","Por vencer"))))</f>
        <v/>
      </c>
    </row>
    <row r="114">
      <c r="A114">
        <f>IF(94&lt;=$B$7,"Mensualidad "&amp;94&amp;" de "&amp;$B$7,"")</f>
        <v/>
      </c>
      <c r="B114" s="10">
        <f>IF(A114="","",EDATE($B$11,93))</f>
        <v/>
      </c>
      <c r="C114" s="11">
        <f>IF(A114="","",IF(AND(94=$B$7,$B$8=0),ROUND($B$14-$B$15*($B$7-1),2),$B$15))</f>
        <v/>
      </c>
      <c r="D114" s="11">
        <f>IF(A114="","",$B$12)</f>
        <v/>
      </c>
      <c r="E114" s="11">
        <f>IF(A114="","",C114+D114)</f>
        <v/>
      </c>
      <c r="F114" s="4" t="n"/>
      <c r="G114" s="7" t="n"/>
      <c r="H114" s="11">
        <f>IF(A114="","",$B$16-(SUM(F$19:F114)-SUMIF(F$19:F114,"&gt;0",D$19:D114)))</f>
        <v/>
      </c>
      <c r="I114">
        <f>IF(A114="","",IF(F114&gt;=E114,"Pagado",IF(B114&lt;TODAY(),IF(F114&gt;0,"Pago parcial vencido","Vencido"),IF(F114&gt;0,"Pago parcial","Por vencer"))))</f>
        <v/>
      </c>
    </row>
    <row r="115">
      <c r="A115">
        <f>IF(95&lt;=$B$7,"Mensualidad "&amp;95&amp;" de "&amp;$B$7,"")</f>
        <v/>
      </c>
      <c r="B115" s="10">
        <f>IF(A115="","",EDATE($B$11,94))</f>
        <v/>
      </c>
      <c r="C115" s="11">
        <f>IF(A115="","",IF(AND(95=$B$7,$B$8=0),ROUND($B$14-$B$15*($B$7-1),2),$B$15))</f>
        <v/>
      </c>
      <c r="D115" s="11">
        <f>IF(A115="","",$B$12)</f>
        <v/>
      </c>
      <c r="E115" s="11">
        <f>IF(A115="","",C115+D115)</f>
        <v/>
      </c>
      <c r="F115" s="4" t="n"/>
      <c r="G115" s="7" t="n"/>
      <c r="H115" s="11">
        <f>IF(A115="","",$B$16-(SUM(F$19:F115)-SUMIF(F$19:F115,"&gt;0",D$19:D115)))</f>
        <v/>
      </c>
      <c r="I115">
        <f>IF(A115="","",IF(F115&gt;=E115,"Pagado",IF(B115&lt;TODAY(),IF(F115&gt;0,"Pago parcial vencido","Vencido"),IF(F115&gt;0,"Pago parcial","Por vencer"))))</f>
        <v/>
      </c>
    </row>
    <row r="116">
      <c r="A116">
        <f>IF(96&lt;=$B$7,"Mensualidad "&amp;96&amp;" de "&amp;$B$7,"")</f>
        <v/>
      </c>
      <c r="B116" s="10">
        <f>IF(A116="","",EDATE($B$11,95))</f>
        <v/>
      </c>
      <c r="C116" s="11">
        <f>IF(A116="","",IF(AND(96=$B$7,$B$8=0),ROUND($B$14-$B$15*($B$7-1),2),$B$15))</f>
        <v/>
      </c>
      <c r="D116" s="11">
        <f>IF(A116="","",$B$12)</f>
        <v/>
      </c>
      <c r="E116" s="11">
        <f>IF(A116="","",C116+D116)</f>
        <v/>
      </c>
      <c r="F116" s="4" t="n"/>
      <c r="G116" s="7" t="n"/>
      <c r="H116" s="11">
        <f>IF(A116="","",$B$16-(SUM(F$19:F116)-SUMIF(F$19:F116,"&gt;0",D$19:D116)))</f>
        <v/>
      </c>
      <c r="I116">
        <f>IF(A116="","",IF(F116&gt;=E116,"Pagado",IF(B116&lt;TODAY(),IF(F116&gt;0,"Pago parcial vencido","Vencido"),IF(F116&gt;0,"Pago parcial","Por vencer"))))</f>
        <v/>
      </c>
    </row>
    <row r="117">
      <c r="A117">
        <f>IF(97&lt;=$B$7,"Mensualidad "&amp;97&amp;" de "&amp;$B$7,"")</f>
        <v/>
      </c>
      <c r="B117" s="10">
        <f>IF(A117="","",EDATE($B$11,96))</f>
        <v/>
      </c>
      <c r="C117" s="11">
        <f>IF(A117="","",IF(AND(97=$B$7,$B$8=0),ROUND($B$14-$B$15*($B$7-1),2),$B$15))</f>
        <v/>
      </c>
      <c r="D117" s="11">
        <f>IF(A117="","",$B$12)</f>
        <v/>
      </c>
      <c r="E117" s="11">
        <f>IF(A117="","",C117+D117)</f>
        <v/>
      </c>
      <c r="F117" s="4" t="n"/>
      <c r="G117" s="7" t="n"/>
      <c r="H117" s="11">
        <f>IF(A117="","",$B$16-(SUM(F$19:F117)-SUMIF(F$19:F117,"&gt;0",D$19:D117)))</f>
        <v/>
      </c>
      <c r="I117">
        <f>IF(A117="","",IF(F117&gt;=E117,"Pagado",IF(B117&lt;TODAY(),IF(F117&gt;0,"Pago parcial vencido","Vencido"),IF(F117&gt;0,"Pago parcial","Por vencer"))))</f>
        <v/>
      </c>
    </row>
    <row r="118">
      <c r="A118">
        <f>IF(98&lt;=$B$7,"Mensualidad "&amp;98&amp;" de "&amp;$B$7,"")</f>
        <v/>
      </c>
      <c r="B118" s="10">
        <f>IF(A118="","",EDATE($B$11,97))</f>
        <v/>
      </c>
      <c r="C118" s="11">
        <f>IF(A118="","",IF(AND(98=$B$7,$B$8=0),ROUND($B$14-$B$15*($B$7-1),2),$B$15))</f>
        <v/>
      </c>
      <c r="D118" s="11">
        <f>IF(A118="","",$B$12)</f>
        <v/>
      </c>
      <c r="E118" s="11">
        <f>IF(A118="","",C118+D118)</f>
        <v/>
      </c>
      <c r="F118" s="4" t="n"/>
      <c r="G118" s="7" t="n"/>
      <c r="H118" s="11">
        <f>IF(A118="","",$B$16-(SUM(F$19:F118)-SUMIF(F$19:F118,"&gt;0",D$19:D118)))</f>
        <v/>
      </c>
      <c r="I118">
        <f>IF(A118="","",IF(F118&gt;=E118,"Pagado",IF(B118&lt;TODAY(),IF(F118&gt;0,"Pago parcial vencido","Vencido"),IF(F118&gt;0,"Pago parcial","Por vencer"))))</f>
        <v/>
      </c>
    </row>
    <row r="119">
      <c r="A119">
        <f>IF(99&lt;=$B$7,"Mensualidad "&amp;99&amp;" de "&amp;$B$7,"")</f>
        <v/>
      </c>
      <c r="B119" s="10">
        <f>IF(A119="","",EDATE($B$11,98))</f>
        <v/>
      </c>
      <c r="C119" s="11">
        <f>IF(A119="","",IF(AND(99=$B$7,$B$8=0),ROUND($B$14-$B$15*($B$7-1),2),$B$15))</f>
        <v/>
      </c>
      <c r="D119" s="11">
        <f>IF(A119="","",$B$12)</f>
        <v/>
      </c>
      <c r="E119" s="11">
        <f>IF(A119="","",C119+D119)</f>
        <v/>
      </c>
      <c r="F119" s="4" t="n"/>
      <c r="G119" s="7" t="n"/>
      <c r="H119" s="11">
        <f>IF(A119="","",$B$16-(SUM(F$19:F119)-SUMIF(F$19:F119,"&gt;0",D$19:D119)))</f>
        <v/>
      </c>
      <c r="I119">
        <f>IF(A119="","",IF(F119&gt;=E119,"Pagado",IF(B119&lt;TODAY(),IF(F119&gt;0,"Pago parcial vencido","Vencido"),IF(F119&gt;0,"Pago parcial","Por vencer"))))</f>
        <v/>
      </c>
    </row>
    <row r="120">
      <c r="A120">
        <f>IF(100&lt;=$B$7,"Mensualidad "&amp;100&amp;" de "&amp;$B$7,"")</f>
        <v/>
      </c>
      <c r="B120" s="10">
        <f>IF(A120="","",EDATE($B$11,99))</f>
        <v/>
      </c>
      <c r="C120" s="11">
        <f>IF(A120="","",IF(AND(100=$B$7,$B$8=0),ROUND($B$14-$B$15*($B$7-1),2),$B$15))</f>
        <v/>
      </c>
      <c r="D120" s="11">
        <f>IF(A120="","",$B$12)</f>
        <v/>
      </c>
      <c r="E120" s="11">
        <f>IF(A120="","",C120+D120)</f>
        <v/>
      </c>
      <c r="F120" s="4" t="n"/>
      <c r="G120" s="7" t="n"/>
      <c r="H120" s="11">
        <f>IF(A120="","",$B$16-(SUM(F$19:F120)-SUMIF(F$19:F120,"&gt;0",D$19:D120)))</f>
        <v/>
      </c>
      <c r="I120">
        <f>IF(A120="","",IF(F120&gt;=E120,"Pagado",IF(B120&lt;TODAY(),IF(F120&gt;0,"Pago parcial vencido","Vencido"),IF(F120&gt;0,"Pago parcial","Por vencer"))))</f>
        <v/>
      </c>
    </row>
    <row r="121">
      <c r="A121">
        <f>IF(101&lt;=$B$7,"Mensualidad "&amp;101&amp;" de "&amp;$B$7,"")</f>
        <v/>
      </c>
      <c r="B121" s="10">
        <f>IF(A121="","",EDATE($B$11,100))</f>
        <v/>
      </c>
      <c r="C121" s="11">
        <f>IF(A121="","",IF(AND(101=$B$7,$B$8=0),ROUND($B$14-$B$15*($B$7-1),2),$B$15))</f>
        <v/>
      </c>
      <c r="D121" s="11">
        <f>IF(A121="","",$B$12)</f>
        <v/>
      </c>
      <c r="E121" s="11">
        <f>IF(A121="","",C121+D121)</f>
        <v/>
      </c>
      <c r="F121" s="4" t="n"/>
      <c r="G121" s="7" t="n"/>
      <c r="H121" s="11">
        <f>IF(A121="","",$B$16-(SUM(F$19:F121)-SUMIF(F$19:F121,"&gt;0",D$19:D121)))</f>
        <v/>
      </c>
      <c r="I121">
        <f>IF(A121="","",IF(F121&gt;=E121,"Pagado",IF(B121&lt;TODAY(),IF(F121&gt;0,"Pago parcial vencido","Vencido"),IF(F121&gt;0,"Pago parcial","Por vencer"))))</f>
        <v/>
      </c>
    </row>
    <row r="122">
      <c r="A122">
        <f>IF(102&lt;=$B$7,"Mensualidad "&amp;102&amp;" de "&amp;$B$7,"")</f>
        <v/>
      </c>
      <c r="B122" s="10">
        <f>IF(A122="","",EDATE($B$11,101))</f>
        <v/>
      </c>
      <c r="C122" s="11">
        <f>IF(A122="","",IF(AND(102=$B$7,$B$8=0),ROUND($B$14-$B$15*($B$7-1),2),$B$15))</f>
        <v/>
      </c>
      <c r="D122" s="11">
        <f>IF(A122="","",$B$12)</f>
        <v/>
      </c>
      <c r="E122" s="11">
        <f>IF(A122="","",C122+D122)</f>
        <v/>
      </c>
      <c r="F122" s="4" t="n"/>
      <c r="G122" s="7" t="n"/>
      <c r="H122" s="11">
        <f>IF(A122="","",$B$16-(SUM(F$19:F122)-SUMIF(F$19:F122,"&gt;0",D$19:D122)))</f>
        <v/>
      </c>
      <c r="I122">
        <f>IF(A122="","",IF(F122&gt;=E122,"Pagado",IF(B122&lt;TODAY(),IF(F122&gt;0,"Pago parcial vencido","Vencido"),IF(F122&gt;0,"Pago parcial","Por vencer"))))</f>
        <v/>
      </c>
    </row>
    <row r="123">
      <c r="A123">
        <f>IF(103&lt;=$B$7,"Mensualidad "&amp;103&amp;" de "&amp;$B$7,"")</f>
        <v/>
      </c>
      <c r="B123" s="10">
        <f>IF(A123="","",EDATE($B$11,102))</f>
        <v/>
      </c>
      <c r="C123" s="11">
        <f>IF(A123="","",IF(AND(103=$B$7,$B$8=0),ROUND($B$14-$B$15*($B$7-1),2),$B$15))</f>
        <v/>
      </c>
      <c r="D123" s="11">
        <f>IF(A123="","",$B$12)</f>
        <v/>
      </c>
      <c r="E123" s="11">
        <f>IF(A123="","",C123+D123)</f>
        <v/>
      </c>
      <c r="F123" s="4" t="n"/>
      <c r="G123" s="7" t="n"/>
      <c r="H123" s="11">
        <f>IF(A123="","",$B$16-(SUM(F$19:F123)-SUMIF(F$19:F123,"&gt;0",D$19:D123)))</f>
        <v/>
      </c>
      <c r="I123">
        <f>IF(A123="","",IF(F123&gt;=E123,"Pagado",IF(B123&lt;TODAY(),IF(F123&gt;0,"Pago parcial vencido","Vencido"),IF(F123&gt;0,"Pago parcial","Por vencer"))))</f>
        <v/>
      </c>
    </row>
    <row r="124">
      <c r="A124">
        <f>IF(104&lt;=$B$7,"Mensualidad "&amp;104&amp;" de "&amp;$B$7,"")</f>
        <v/>
      </c>
      <c r="B124" s="10">
        <f>IF(A124="","",EDATE($B$11,103))</f>
        <v/>
      </c>
      <c r="C124" s="11">
        <f>IF(A124="","",IF(AND(104=$B$7,$B$8=0),ROUND($B$14-$B$15*($B$7-1),2),$B$15))</f>
        <v/>
      </c>
      <c r="D124" s="11">
        <f>IF(A124="","",$B$12)</f>
        <v/>
      </c>
      <c r="E124" s="11">
        <f>IF(A124="","",C124+D124)</f>
        <v/>
      </c>
      <c r="F124" s="4" t="n"/>
      <c r="G124" s="7" t="n"/>
      <c r="H124" s="11">
        <f>IF(A124="","",$B$16-(SUM(F$19:F124)-SUMIF(F$19:F124,"&gt;0",D$19:D124)))</f>
        <v/>
      </c>
      <c r="I124">
        <f>IF(A124="","",IF(F124&gt;=E124,"Pagado",IF(B124&lt;TODAY(),IF(F124&gt;0,"Pago parcial vencido","Vencido"),IF(F124&gt;0,"Pago parcial","Por vencer"))))</f>
        <v/>
      </c>
    </row>
    <row r="125">
      <c r="A125">
        <f>IF(105&lt;=$B$7,"Mensualidad "&amp;105&amp;" de "&amp;$B$7,"")</f>
        <v/>
      </c>
      <c r="B125" s="10">
        <f>IF(A125="","",EDATE($B$11,104))</f>
        <v/>
      </c>
      <c r="C125" s="11">
        <f>IF(A125="","",IF(AND(105=$B$7,$B$8=0),ROUND($B$14-$B$15*($B$7-1),2),$B$15))</f>
        <v/>
      </c>
      <c r="D125" s="11">
        <f>IF(A125="","",$B$12)</f>
        <v/>
      </c>
      <c r="E125" s="11">
        <f>IF(A125="","",C125+D125)</f>
        <v/>
      </c>
      <c r="F125" s="4" t="n"/>
      <c r="G125" s="7" t="n"/>
      <c r="H125" s="11">
        <f>IF(A125="","",$B$16-(SUM(F$19:F125)-SUMIF(F$19:F125,"&gt;0",D$19:D125)))</f>
        <v/>
      </c>
      <c r="I125">
        <f>IF(A125="","",IF(F125&gt;=E125,"Pagado",IF(B125&lt;TODAY(),IF(F125&gt;0,"Pago parcial vencido","Vencido"),IF(F125&gt;0,"Pago parcial","Por vencer"))))</f>
        <v/>
      </c>
    </row>
    <row r="126">
      <c r="A126">
        <f>IF(106&lt;=$B$7,"Mensualidad "&amp;106&amp;" de "&amp;$B$7,"")</f>
        <v/>
      </c>
      <c r="B126" s="10">
        <f>IF(A126="","",EDATE($B$11,105))</f>
        <v/>
      </c>
      <c r="C126" s="11">
        <f>IF(A126="","",IF(AND(106=$B$7,$B$8=0),ROUND($B$14-$B$15*($B$7-1),2),$B$15))</f>
        <v/>
      </c>
      <c r="D126" s="11">
        <f>IF(A126="","",$B$12)</f>
        <v/>
      </c>
      <c r="E126" s="11">
        <f>IF(A126="","",C126+D126)</f>
        <v/>
      </c>
      <c r="F126" s="4" t="n"/>
      <c r="G126" s="7" t="n"/>
      <c r="H126" s="11">
        <f>IF(A126="","",$B$16-(SUM(F$19:F126)-SUMIF(F$19:F126,"&gt;0",D$19:D126)))</f>
        <v/>
      </c>
      <c r="I126">
        <f>IF(A126="","",IF(F126&gt;=E126,"Pagado",IF(B126&lt;TODAY(),IF(F126&gt;0,"Pago parcial vencido","Vencido"),IF(F126&gt;0,"Pago parcial","Por vencer"))))</f>
        <v/>
      </c>
    </row>
    <row r="127">
      <c r="A127">
        <f>IF(107&lt;=$B$7,"Mensualidad "&amp;107&amp;" de "&amp;$B$7,"")</f>
        <v/>
      </c>
      <c r="B127" s="10">
        <f>IF(A127="","",EDATE($B$11,106))</f>
        <v/>
      </c>
      <c r="C127" s="11">
        <f>IF(A127="","",IF(AND(107=$B$7,$B$8=0),ROUND($B$14-$B$15*($B$7-1),2),$B$15))</f>
        <v/>
      </c>
      <c r="D127" s="11">
        <f>IF(A127="","",$B$12)</f>
        <v/>
      </c>
      <c r="E127" s="11">
        <f>IF(A127="","",C127+D127)</f>
        <v/>
      </c>
      <c r="F127" s="4" t="n"/>
      <c r="G127" s="7" t="n"/>
      <c r="H127" s="11">
        <f>IF(A127="","",$B$16-(SUM(F$19:F127)-SUMIF(F$19:F127,"&gt;0",D$19:D127)))</f>
        <v/>
      </c>
      <c r="I127">
        <f>IF(A127="","",IF(F127&gt;=E127,"Pagado",IF(B127&lt;TODAY(),IF(F127&gt;0,"Pago parcial vencido","Vencido"),IF(F127&gt;0,"Pago parcial","Por vencer"))))</f>
        <v/>
      </c>
    </row>
    <row r="128">
      <c r="A128">
        <f>IF(108&lt;=$B$7,"Mensualidad "&amp;108&amp;" de "&amp;$B$7,"")</f>
        <v/>
      </c>
      <c r="B128" s="10">
        <f>IF(A128="","",EDATE($B$11,107))</f>
        <v/>
      </c>
      <c r="C128" s="11">
        <f>IF(A128="","",IF(AND(108=$B$7,$B$8=0),ROUND($B$14-$B$15*($B$7-1),2),$B$15))</f>
        <v/>
      </c>
      <c r="D128" s="11">
        <f>IF(A128="","",$B$12)</f>
        <v/>
      </c>
      <c r="E128" s="11">
        <f>IF(A128="","",C128+D128)</f>
        <v/>
      </c>
      <c r="F128" s="4" t="n"/>
      <c r="G128" s="7" t="n"/>
      <c r="H128" s="11">
        <f>IF(A128="","",$B$16-(SUM(F$19:F128)-SUMIF(F$19:F128,"&gt;0",D$19:D128)))</f>
        <v/>
      </c>
      <c r="I128">
        <f>IF(A128="","",IF(F128&gt;=E128,"Pagado",IF(B128&lt;TODAY(),IF(F128&gt;0,"Pago parcial vencido","Vencido"),IF(F128&gt;0,"Pago parcial","Por vencer"))))</f>
        <v/>
      </c>
    </row>
    <row r="129">
      <c r="A129">
        <f>IF(109&lt;=$B$7,"Mensualidad "&amp;109&amp;" de "&amp;$B$7,"")</f>
        <v/>
      </c>
      <c r="B129" s="10">
        <f>IF(A129="","",EDATE($B$11,108))</f>
        <v/>
      </c>
      <c r="C129" s="11">
        <f>IF(A129="","",IF(AND(109=$B$7,$B$8=0),ROUND($B$14-$B$15*($B$7-1),2),$B$15))</f>
        <v/>
      </c>
      <c r="D129" s="11">
        <f>IF(A129="","",$B$12)</f>
        <v/>
      </c>
      <c r="E129" s="11">
        <f>IF(A129="","",C129+D129)</f>
        <v/>
      </c>
      <c r="F129" s="4" t="n"/>
      <c r="G129" s="7" t="n"/>
      <c r="H129" s="11">
        <f>IF(A129="","",$B$16-(SUM(F$19:F129)-SUMIF(F$19:F129,"&gt;0",D$19:D129)))</f>
        <v/>
      </c>
      <c r="I129">
        <f>IF(A129="","",IF(F129&gt;=E129,"Pagado",IF(B129&lt;TODAY(),IF(F129&gt;0,"Pago parcial vencido","Vencido"),IF(F129&gt;0,"Pago parcial","Por vencer"))))</f>
        <v/>
      </c>
    </row>
    <row r="130">
      <c r="A130">
        <f>IF(110&lt;=$B$7,"Mensualidad "&amp;110&amp;" de "&amp;$B$7,"")</f>
        <v/>
      </c>
      <c r="B130" s="10">
        <f>IF(A130="","",EDATE($B$11,109))</f>
        <v/>
      </c>
      <c r="C130" s="11">
        <f>IF(A130="","",IF(AND(110=$B$7,$B$8=0),ROUND($B$14-$B$15*($B$7-1),2),$B$15))</f>
        <v/>
      </c>
      <c r="D130" s="11">
        <f>IF(A130="","",$B$12)</f>
        <v/>
      </c>
      <c r="E130" s="11">
        <f>IF(A130="","",C130+D130)</f>
        <v/>
      </c>
      <c r="F130" s="4" t="n"/>
      <c r="G130" s="7" t="n"/>
      <c r="H130" s="11">
        <f>IF(A130="","",$B$16-(SUM(F$19:F130)-SUMIF(F$19:F130,"&gt;0",D$19:D130)))</f>
        <v/>
      </c>
      <c r="I130">
        <f>IF(A130="","",IF(F130&gt;=E130,"Pagado",IF(B130&lt;TODAY(),IF(F130&gt;0,"Pago parcial vencido","Vencido"),IF(F130&gt;0,"Pago parcial","Por vencer"))))</f>
        <v/>
      </c>
    </row>
    <row r="131">
      <c r="A131">
        <f>IF(111&lt;=$B$7,"Mensualidad "&amp;111&amp;" de "&amp;$B$7,"")</f>
        <v/>
      </c>
      <c r="B131" s="10">
        <f>IF(A131="","",EDATE($B$11,110))</f>
        <v/>
      </c>
      <c r="C131" s="11">
        <f>IF(A131="","",IF(AND(111=$B$7,$B$8=0),ROUND($B$14-$B$15*($B$7-1),2),$B$15))</f>
        <v/>
      </c>
      <c r="D131" s="11">
        <f>IF(A131="","",$B$12)</f>
        <v/>
      </c>
      <c r="E131" s="11">
        <f>IF(A131="","",C131+D131)</f>
        <v/>
      </c>
      <c r="F131" s="4" t="n"/>
      <c r="G131" s="7" t="n"/>
      <c r="H131" s="11">
        <f>IF(A131="","",$B$16-(SUM(F$19:F131)-SUMIF(F$19:F131,"&gt;0",D$19:D131)))</f>
        <v/>
      </c>
      <c r="I131">
        <f>IF(A131="","",IF(F131&gt;=E131,"Pagado",IF(B131&lt;TODAY(),IF(F131&gt;0,"Pago parcial vencido","Vencido"),IF(F131&gt;0,"Pago parcial","Por vencer"))))</f>
        <v/>
      </c>
    </row>
    <row r="132">
      <c r="A132">
        <f>IF(112&lt;=$B$7,"Mensualidad "&amp;112&amp;" de "&amp;$B$7,"")</f>
        <v/>
      </c>
      <c r="B132" s="10">
        <f>IF(A132="","",EDATE($B$11,111))</f>
        <v/>
      </c>
      <c r="C132" s="11">
        <f>IF(A132="","",IF(AND(112=$B$7,$B$8=0),ROUND($B$14-$B$15*($B$7-1),2),$B$15))</f>
        <v/>
      </c>
      <c r="D132" s="11">
        <f>IF(A132="","",$B$12)</f>
        <v/>
      </c>
      <c r="E132" s="11">
        <f>IF(A132="","",C132+D132)</f>
        <v/>
      </c>
      <c r="F132" s="4" t="n"/>
      <c r="G132" s="7" t="n"/>
      <c r="H132" s="11">
        <f>IF(A132="","",$B$16-(SUM(F$19:F132)-SUMIF(F$19:F132,"&gt;0",D$19:D132)))</f>
        <v/>
      </c>
      <c r="I132">
        <f>IF(A132="","",IF(F132&gt;=E132,"Pagado",IF(B132&lt;TODAY(),IF(F132&gt;0,"Pago parcial vencido","Vencido"),IF(F132&gt;0,"Pago parcial","Por vencer"))))</f>
        <v/>
      </c>
    </row>
    <row r="133">
      <c r="A133">
        <f>IF(113&lt;=$B$7,"Mensualidad "&amp;113&amp;" de "&amp;$B$7,"")</f>
        <v/>
      </c>
      <c r="B133" s="10">
        <f>IF(A133="","",EDATE($B$11,112))</f>
        <v/>
      </c>
      <c r="C133" s="11">
        <f>IF(A133="","",IF(AND(113=$B$7,$B$8=0),ROUND($B$14-$B$15*($B$7-1),2),$B$15))</f>
        <v/>
      </c>
      <c r="D133" s="11">
        <f>IF(A133="","",$B$12)</f>
        <v/>
      </c>
      <c r="E133" s="11">
        <f>IF(A133="","",C133+D133)</f>
        <v/>
      </c>
      <c r="F133" s="4" t="n"/>
      <c r="G133" s="7" t="n"/>
      <c r="H133" s="11">
        <f>IF(A133="","",$B$16-(SUM(F$19:F133)-SUMIF(F$19:F133,"&gt;0",D$19:D133)))</f>
        <v/>
      </c>
      <c r="I133">
        <f>IF(A133="","",IF(F133&gt;=E133,"Pagado",IF(B133&lt;TODAY(),IF(F133&gt;0,"Pago parcial vencido","Vencido"),IF(F133&gt;0,"Pago parcial","Por vencer"))))</f>
        <v/>
      </c>
    </row>
    <row r="134">
      <c r="A134">
        <f>IF(114&lt;=$B$7,"Mensualidad "&amp;114&amp;" de "&amp;$B$7,"")</f>
        <v/>
      </c>
      <c r="B134" s="10">
        <f>IF(A134="","",EDATE($B$11,113))</f>
        <v/>
      </c>
      <c r="C134" s="11">
        <f>IF(A134="","",IF(AND(114=$B$7,$B$8=0),ROUND($B$14-$B$15*($B$7-1),2),$B$15))</f>
        <v/>
      </c>
      <c r="D134" s="11">
        <f>IF(A134="","",$B$12)</f>
        <v/>
      </c>
      <c r="E134" s="11">
        <f>IF(A134="","",C134+D134)</f>
        <v/>
      </c>
      <c r="F134" s="4" t="n"/>
      <c r="G134" s="7" t="n"/>
      <c r="H134" s="11">
        <f>IF(A134="","",$B$16-(SUM(F$19:F134)-SUMIF(F$19:F134,"&gt;0",D$19:D134)))</f>
        <v/>
      </c>
      <c r="I134">
        <f>IF(A134="","",IF(F134&gt;=E134,"Pagado",IF(B134&lt;TODAY(),IF(F134&gt;0,"Pago parcial vencido","Vencido"),IF(F134&gt;0,"Pago parcial","Por vencer"))))</f>
        <v/>
      </c>
    </row>
    <row r="135">
      <c r="A135">
        <f>IF(115&lt;=$B$7,"Mensualidad "&amp;115&amp;" de "&amp;$B$7,"")</f>
        <v/>
      </c>
      <c r="B135" s="10">
        <f>IF(A135="","",EDATE($B$11,114))</f>
        <v/>
      </c>
      <c r="C135" s="11">
        <f>IF(A135="","",IF(AND(115=$B$7,$B$8=0),ROUND($B$14-$B$15*($B$7-1),2),$B$15))</f>
        <v/>
      </c>
      <c r="D135" s="11">
        <f>IF(A135="","",$B$12)</f>
        <v/>
      </c>
      <c r="E135" s="11">
        <f>IF(A135="","",C135+D135)</f>
        <v/>
      </c>
      <c r="F135" s="4" t="n"/>
      <c r="G135" s="7" t="n"/>
      <c r="H135" s="11">
        <f>IF(A135="","",$B$16-(SUM(F$19:F135)-SUMIF(F$19:F135,"&gt;0",D$19:D135)))</f>
        <v/>
      </c>
      <c r="I135">
        <f>IF(A135="","",IF(F135&gt;=E135,"Pagado",IF(B135&lt;TODAY(),IF(F135&gt;0,"Pago parcial vencido","Vencido"),IF(F135&gt;0,"Pago parcial","Por vencer"))))</f>
        <v/>
      </c>
    </row>
    <row r="136">
      <c r="A136">
        <f>IF(116&lt;=$B$7,"Mensualidad "&amp;116&amp;" de "&amp;$B$7,"")</f>
        <v/>
      </c>
      <c r="B136" s="10">
        <f>IF(A136="","",EDATE($B$11,115))</f>
        <v/>
      </c>
      <c r="C136" s="11">
        <f>IF(A136="","",IF(AND(116=$B$7,$B$8=0),ROUND($B$14-$B$15*($B$7-1),2),$B$15))</f>
        <v/>
      </c>
      <c r="D136" s="11">
        <f>IF(A136="","",$B$12)</f>
        <v/>
      </c>
      <c r="E136" s="11">
        <f>IF(A136="","",C136+D136)</f>
        <v/>
      </c>
      <c r="F136" s="4" t="n"/>
      <c r="G136" s="7" t="n"/>
      <c r="H136" s="11">
        <f>IF(A136="","",$B$16-(SUM(F$19:F136)-SUMIF(F$19:F136,"&gt;0",D$19:D136)))</f>
        <v/>
      </c>
      <c r="I136">
        <f>IF(A136="","",IF(F136&gt;=E136,"Pagado",IF(B136&lt;TODAY(),IF(F136&gt;0,"Pago parcial vencido","Vencido"),IF(F136&gt;0,"Pago parcial","Por vencer"))))</f>
        <v/>
      </c>
    </row>
    <row r="137">
      <c r="A137">
        <f>IF(117&lt;=$B$7,"Mensualidad "&amp;117&amp;" de "&amp;$B$7,"")</f>
        <v/>
      </c>
      <c r="B137" s="10">
        <f>IF(A137="","",EDATE($B$11,116))</f>
        <v/>
      </c>
      <c r="C137" s="11">
        <f>IF(A137="","",IF(AND(117=$B$7,$B$8=0),ROUND($B$14-$B$15*($B$7-1),2),$B$15))</f>
        <v/>
      </c>
      <c r="D137" s="11">
        <f>IF(A137="","",$B$12)</f>
        <v/>
      </c>
      <c r="E137" s="11">
        <f>IF(A137="","",C137+D137)</f>
        <v/>
      </c>
      <c r="F137" s="4" t="n"/>
      <c r="G137" s="7" t="n"/>
      <c r="H137" s="11">
        <f>IF(A137="","",$B$16-(SUM(F$19:F137)-SUMIF(F$19:F137,"&gt;0",D$19:D137)))</f>
        <v/>
      </c>
      <c r="I137">
        <f>IF(A137="","",IF(F137&gt;=E137,"Pagado",IF(B137&lt;TODAY(),IF(F137&gt;0,"Pago parcial vencido","Vencido"),IF(F137&gt;0,"Pago parcial","Por vencer"))))</f>
        <v/>
      </c>
    </row>
    <row r="138">
      <c r="A138">
        <f>IF(118&lt;=$B$7,"Mensualidad "&amp;118&amp;" de "&amp;$B$7,"")</f>
        <v/>
      </c>
      <c r="B138" s="10">
        <f>IF(A138="","",EDATE($B$11,117))</f>
        <v/>
      </c>
      <c r="C138" s="11">
        <f>IF(A138="","",IF(AND(118=$B$7,$B$8=0),ROUND($B$14-$B$15*($B$7-1),2),$B$15))</f>
        <v/>
      </c>
      <c r="D138" s="11">
        <f>IF(A138="","",$B$12)</f>
        <v/>
      </c>
      <c r="E138" s="11">
        <f>IF(A138="","",C138+D138)</f>
        <v/>
      </c>
      <c r="F138" s="4" t="n"/>
      <c r="G138" s="7" t="n"/>
      <c r="H138" s="11">
        <f>IF(A138="","",$B$16-(SUM(F$19:F138)-SUMIF(F$19:F138,"&gt;0",D$19:D138)))</f>
        <v/>
      </c>
      <c r="I138">
        <f>IF(A138="","",IF(F138&gt;=E138,"Pagado",IF(B138&lt;TODAY(),IF(F138&gt;0,"Pago parcial vencido","Vencido"),IF(F138&gt;0,"Pago parcial","Por vencer"))))</f>
        <v/>
      </c>
    </row>
    <row r="139">
      <c r="A139">
        <f>IF(119&lt;=$B$7,"Mensualidad "&amp;119&amp;" de "&amp;$B$7,"")</f>
        <v/>
      </c>
      <c r="B139" s="10">
        <f>IF(A139="","",EDATE($B$11,118))</f>
        <v/>
      </c>
      <c r="C139" s="11">
        <f>IF(A139="","",IF(AND(119=$B$7,$B$8=0),ROUND($B$14-$B$15*($B$7-1),2),$B$15))</f>
        <v/>
      </c>
      <c r="D139" s="11">
        <f>IF(A139="","",$B$12)</f>
        <v/>
      </c>
      <c r="E139" s="11">
        <f>IF(A139="","",C139+D139)</f>
        <v/>
      </c>
      <c r="F139" s="4" t="n"/>
      <c r="G139" s="7" t="n"/>
      <c r="H139" s="11">
        <f>IF(A139="","",$B$16-(SUM(F$19:F139)-SUMIF(F$19:F139,"&gt;0",D$19:D139)))</f>
        <v/>
      </c>
      <c r="I139">
        <f>IF(A139="","",IF(F139&gt;=E139,"Pagado",IF(B139&lt;TODAY(),IF(F139&gt;0,"Pago parcial vencido","Vencido"),IF(F139&gt;0,"Pago parcial","Por vencer"))))</f>
        <v/>
      </c>
    </row>
    <row r="140">
      <c r="A140">
        <f>IF(120&lt;=$B$7,"Mensualidad "&amp;120&amp;" de "&amp;$B$7,"")</f>
        <v/>
      </c>
      <c r="B140" s="10">
        <f>IF(A140="","",EDATE($B$11,119))</f>
        <v/>
      </c>
      <c r="C140" s="11">
        <f>IF(A140="","",IF(AND(120=$B$7,$B$8=0),ROUND($B$14-$B$15*($B$7-1),2),$B$15))</f>
        <v/>
      </c>
      <c r="D140" s="11">
        <f>IF(A140="","",$B$12)</f>
        <v/>
      </c>
      <c r="E140" s="11">
        <f>IF(A140="","",C140+D140)</f>
        <v/>
      </c>
      <c r="F140" s="4" t="n"/>
      <c r="G140" s="7" t="n"/>
      <c r="H140" s="11">
        <f>IF(A140="","",$B$16-(SUM(F$19:F140)-SUMIF(F$19:F140,"&gt;0",D$19:D140)))</f>
        <v/>
      </c>
      <c r="I140">
        <f>IF(A140="","",IF(F140&gt;=E140,"Pagado",IF(B140&lt;TODAY(),IF(F140&gt;0,"Pago parcial vencido","Vencido"),IF(F140&gt;0,"Pago parcial","Por vencer"))))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2" t="inlineStr">
        <is>
          <t>Cómo se usa esta hoja</t>
        </is>
      </c>
    </row>
    <row r="3" ht="30" customHeight="1">
      <c r="A3" s="13" t="inlineStr">
        <is>
          <t>Un terreno a plazos se cobra en tres momentos: el apartado, el resto del enganche y las mensualidades.</t>
        </is>
      </c>
    </row>
    <row r="4" ht="30" customHeight="1">
      <c r="A4" s="13" t="inlineStr">
        <is>
          <t>El apartado aparta el lote y se descuenta del enganche. Si tu contrato dice otra cosa, cambia la celda B5.</t>
        </is>
      </c>
    </row>
    <row r="5" ht="15" customHeight="1">
      <c r="A5" s="13" t="inlineStr"/>
    </row>
    <row r="6" ht="30" customHeight="1">
      <c r="A6" s="13" t="inlineStr">
        <is>
          <t>Sin intereses (B8 en 0): el saldo se parte en mensualidades iguales y la última ajusta los centavos.</t>
        </is>
      </c>
    </row>
    <row r="7" ht="15" customHeight="1">
      <c r="A7" s="13" t="inlineStr">
        <is>
          <t>Con intereses: la mensualidad sale de una amortización con pago fijo, como un crédito.</t>
        </is>
      </c>
    </row>
    <row r="8" ht="15" customHeight="1">
      <c r="A8" s="13" t="inlineStr"/>
    </row>
    <row r="9" ht="30" customHeight="1">
      <c r="A9" s="13" t="inlineStr">
        <is>
          <t>Mantenimiento: si cobras cuota de mantenimiento o de servicios junto con la mensualidad, va aparte.</t>
        </is>
      </c>
    </row>
    <row r="10" ht="15" customHeight="1">
      <c r="A10" s="13" t="inlineStr">
        <is>
          <t>No es parte del precio del terreno y no baja la columna Resta del terreno.</t>
        </is>
      </c>
    </row>
    <row r="11" ht="15" customHeight="1">
      <c r="A11" s="13" t="inlineStr"/>
    </row>
    <row r="12" ht="15" customHeight="1">
      <c r="A12" s="13" t="inlineStr">
        <is>
          <t>Cuando llega un pago, escribe el monto en Pagado y la fecha en Fecha de pago. La columna Estado</t>
        </is>
      </c>
    </row>
    <row r="13" ht="15" customHeight="1">
      <c r="A13" s="13" t="inlineStr">
        <is>
          <t>dice si ya quedó, si fue parcial o si está vencido, contra la fecha de hoy.</t>
        </is>
      </c>
    </row>
    <row r="14" ht="15" customHeight="1">
      <c r="A14" s="13" t="inlineStr"/>
    </row>
    <row r="15" ht="15" customHeight="1">
      <c r="A15" s="13" t="inlineStr">
        <is>
          <t>Este calendario no es el contrato. Lo que pasa con un atraso, la penalización y la cancelación</t>
        </is>
      </c>
    </row>
    <row r="16" ht="15" customHeight="1">
      <c r="A16" s="13" t="inlineStr">
        <is>
          <t>los fija el contrato de compraventa a plazos que firma el comprador. El calendario lo acompaña.</t>
        </is>
      </c>
    </row>
    <row r="18">
      <c r="A18" s="14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2026-09-28T04:27:37Z</dcterms:created>
  <dcterms:modified xmlns:dcterms="http://purl.org/dc/terms/" xmlns:xsi="http://www.w3.org/2001/XMLSchema-instance" xsi:type="dcterms:W3CDTF">2026-09-28T04:27:37Z</dcterms:modified>
</cp:coreProperties>
</file>