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éstamos diarios" sheetId="1" state="visible" r:id="rId1"/>
    <sheet xmlns:r="http://schemas.openxmlformats.org/officeDocument/2006/relationships" name="Abonos" sheetId="2" state="visible" r:id="rId2"/>
    <sheet xmlns:r="http://schemas.openxmlformats.org/officeDocument/2006/relationships" name="Ruta de hoy" sheetId="3" state="visible" r:id="rId3"/>
    <sheet xmlns:r="http://schemas.openxmlformats.org/officeDocument/2006/relationships" name="Cómo se usa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0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color rgb="001A2B2A"/>
      <sz val="10"/>
    </font>
    <font>
      <b val="1"/>
    </font>
    <font>
      <b val="1"/>
      <color rgb="000F8B83"/>
    </font>
    <font>
      <b val="1"/>
      <color rgb="001A2B2A"/>
      <sz val="16"/>
    </font>
    <font>
      <i val="1"/>
      <color rgb="006B7A79"/>
      <sz val="10"/>
    </font>
    <font>
      <b val="1"/>
      <sz val="11"/>
    </font>
    <font>
      <b val="1"/>
      <color rgb="001A2B2A"/>
      <sz val="13"/>
    </font>
    <font>
      <i val="1"/>
      <color rgb="006B7A79"/>
      <sz val="9"/>
    </font>
  </fonts>
  <fills count="4">
    <fill>
      <patternFill/>
    </fill>
    <fill>
      <patternFill patternType="gray125"/>
    </fill>
    <fill>
      <patternFill patternType="solid">
        <fgColor rgb="000F8B83"/>
      </patternFill>
    </fill>
    <fill>
      <patternFill patternType="solid">
        <fgColor rgb="00F4F6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3" borderId="0" applyAlignment="1" pivotButton="0" quotePrefix="0" xfId="0">
      <alignment vertical="center"/>
    </xf>
    <xf numFmtId="4" fontId="0" fillId="0" borderId="0" pivotButton="0" quotePrefix="0" xfId="0"/>
    <xf numFmtId="164" fontId="0" fillId="0" borderId="0" pivotButton="0" quotePrefix="0" xfId="0"/>
    <xf numFmtId="0" fontId="3" fillId="0" borderId="0" pivotButton="0" quotePrefix="0" xfId="0"/>
    <xf numFmtId="4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3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2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0" customWidth="1" min="3" max="3"/>
    <col width="12" customWidth="1" min="4" max="4"/>
    <col width="11" customWidth="1" min="5" max="5"/>
    <col width="9" customWidth="1" min="6" max="6"/>
    <col width="12" customWidth="1" min="7" max="7"/>
    <col width="13" customWidth="1" min="8" max="8"/>
    <col width="12" customWidth="1" min="9" max="9"/>
    <col width="11" customWidth="1" min="10" max="10"/>
    <col width="10" customWidth="1" min="11" max="11"/>
    <col width="11" customWidth="1" min="12" max="12"/>
    <col width="13" customWidth="1" min="13" max="13"/>
    <col width="12" customWidth="1" min="14" max="14"/>
    <col width="12" customWidth="1" min="15" max="15"/>
    <col width="12" customWidth="1" min="16" max="16"/>
    <col width="11" customWidth="1" min="17" max="17"/>
    <col width="12" customWidth="1" min="18" max="18"/>
    <col width="12" customWidth="1" min="19" max="19"/>
  </cols>
  <sheetData>
    <row r="1">
      <c r="A1" s="1" t="inlineStr">
        <is>
          <t>nombre</t>
        </is>
      </c>
      <c r="B1" s="1" t="inlineStr">
        <is>
          <t>telefono</t>
        </is>
      </c>
      <c r="C1" s="1" t="inlineStr">
        <is>
          <t>email</t>
        </is>
      </c>
      <c r="D1" s="1" t="inlineStr">
        <is>
          <t>saldo</t>
        </is>
      </c>
      <c r="E1" s="1" t="inlineStr">
        <is>
          <t>estatus</t>
        </is>
      </c>
      <c r="F1" s="2" t="inlineStr">
        <is>
          <t>folio</t>
        </is>
      </c>
      <c r="G1" s="2" t="inlineStr">
        <is>
          <t>zona</t>
        </is>
      </c>
      <c r="H1" s="2" t="inlineStr">
        <is>
          <t>fecha_de_entrega</t>
        </is>
      </c>
      <c r="I1" s="2" t="inlineStr">
        <is>
          <t>monto_prestado</t>
        </is>
      </c>
      <c r="J1" s="2" t="inlineStr">
        <is>
          <t>pago_diario</t>
        </is>
      </c>
      <c r="K1" s="2" t="inlineStr">
        <is>
          <t>numero_de_pagos</t>
        </is>
      </c>
      <c r="L1" s="2" t="inlineStr">
        <is>
          <t>cobra_domingo</t>
        </is>
      </c>
      <c r="M1" s="2" t="inlineStr">
        <is>
          <t>total_a_pagar</t>
        </is>
      </c>
      <c r="N1" s="2" t="inlineStr">
        <is>
          <t>abonado</t>
        </is>
      </c>
      <c r="O1" s="2" t="inlineStr">
        <is>
          <t>dias_de_cobro_a_hoy</t>
        </is>
      </c>
      <c r="P1" s="2" t="inlineStr">
        <is>
          <t>debio_llevar</t>
        </is>
      </c>
      <c r="Q1" s="2" t="inlineStr">
        <is>
          <t>atraso</t>
        </is>
      </c>
      <c r="R1" s="2" t="inlineStr">
        <is>
          <t>pagos_atrasados</t>
        </is>
      </c>
      <c r="S1" s="2" t="inlineStr">
        <is>
          <t>ultimo_pago</t>
        </is>
      </c>
      <c r="T1" s="2" t="inlineStr">
        <is>
          <t>orden_en_ruta</t>
        </is>
      </c>
    </row>
    <row r="2">
      <c r="A2" t="inlineStr">
        <is>
          <t>Teresa Paredes</t>
        </is>
      </c>
      <c r="B2" t="inlineStr">
        <is>
          <t>+52 55 0000 0081</t>
        </is>
      </c>
      <c r="C2" t="inlineStr"/>
      <c r="D2" s="3">
        <f>IF(F2="","",MAX(0,M2-N2))</f>
        <v/>
      </c>
      <c r="E2" t="inlineStr">
        <is>
          <t>activo</t>
        </is>
      </c>
      <c r="F2" t="inlineStr">
        <is>
          <t>D-101</t>
        </is>
      </c>
      <c r="G2" t="inlineStr">
        <is>
          <t>Centro</t>
        </is>
      </c>
      <c r="H2" s="4" t="n">
        <v>46286</v>
      </c>
      <c r="I2" s="3" t="n">
        <v>2000</v>
      </c>
      <c r="J2" s="3" t="n">
        <v>100</v>
      </c>
      <c r="K2" t="n">
        <v>24</v>
      </c>
      <c r="L2" t="inlineStr">
        <is>
          <t>no</t>
        </is>
      </c>
      <c r="M2" s="3">
        <f>IF(F2="","",J2*K2)</f>
        <v/>
      </c>
      <c r="N2" s="3">
        <f>IF(F2="","",SUMIF(Abonos!$B$2:$B$5000,F2,Abonos!$C$2:$C$5000))</f>
        <v/>
      </c>
      <c r="O2">
        <f>IF(F2="","",MIN(K2,IF(TODAY()&lt;=H2,0,IF(L2="sí",TODAY()-H2,NETWORKDAYS.INTL(H2+1,TODAY(),11)))))</f>
        <v/>
      </c>
      <c r="P2" s="3">
        <f>IF(F2="","",O2*J2)</f>
        <v/>
      </c>
      <c r="Q2" s="3">
        <f>IF(F2="","",MAX(0,P2-N2))</f>
        <v/>
      </c>
      <c r="R2">
        <f>IF(F2="","",IF(N(J2)=0,0,ROUNDUP(Q2/J2,0)))</f>
        <v/>
      </c>
      <c r="S2" s="4">
        <f>IF(F2="","",IFERROR(1/(1/_xlfn.MAXIFS(Abonos!$A$2:$A$5000,Abonos!$B$2:$B$5000,F2)),""))</f>
        <v/>
      </c>
      <c r="T2">
        <f>IF(F2="","",IF(AND(G2='Ruta de hoy'!$B$4,N(D2)&gt;0),COUNTIFS($G$2:G2,'Ruta de hoy'!$B$4,$D$2:D2,"&gt;0"),""))</f>
        <v/>
      </c>
    </row>
    <row r="3">
      <c r="A3" t="inlineStr">
        <is>
          <t>Miguel Ángel Ruiz</t>
        </is>
      </c>
      <c r="B3" t="inlineStr">
        <is>
          <t>+52 55 0000 0082</t>
        </is>
      </c>
      <c r="C3" t="inlineStr"/>
      <c r="D3" s="3">
        <f>IF(F3="","",MAX(0,M3-N3))</f>
        <v/>
      </c>
      <c r="E3" t="inlineStr">
        <is>
          <t>vencido</t>
        </is>
      </c>
      <c r="F3" t="inlineStr">
        <is>
          <t>D-102</t>
        </is>
      </c>
      <c r="G3" t="inlineStr">
        <is>
          <t>Centro</t>
        </is>
      </c>
      <c r="H3" s="4" t="n">
        <v>46293</v>
      </c>
      <c r="I3" s="3" t="n">
        <v>3000</v>
      </c>
      <c r="J3" s="3" t="n">
        <v>150</v>
      </c>
      <c r="K3" t="n">
        <v>24</v>
      </c>
      <c r="L3" t="inlineStr">
        <is>
          <t>no</t>
        </is>
      </c>
      <c r="M3" s="3">
        <f>IF(F3="","",J3*K3)</f>
        <v/>
      </c>
      <c r="N3" s="3">
        <f>IF(F3="","",SUMIF(Abonos!$B$2:$B$5000,F3,Abonos!$C$2:$C$5000))</f>
        <v/>
      </c>
      <c r="O3">
        <f>IF(F3="","",MIN(K3,IF(TODAY()&lt;=H3,0,IF(L3="sí",TODAY()-H3,NETWORKDAYS.INTL(H3+1,TODAY(),11)))))</f>
        <v/>
      </c>
      <c r="P3" s="3">
        <f>IF(F3="","",O3*J3)</f>
        <v/>
      </c>
      <c r="Q3" s="3">
        <f>IF(F3="","",MAX(0,P3-N3))</f>
        <v/>
      </c>
      <c r="R3">
        <f>IF(F3="","",IF(N(J3)=0,0,ROUNDUP(Q3/J3,0)))</f>
        <v/>
      </c>
      <c r="S3" s="4">
        <f>IF(F3="","",IFERROR(1/(1/_xlfn.MAXIFS(Abonos!$A$2:$A$5000,Abonos!$B$2:$B$5000,F3)),""))</f>
        <v/>
      </c>
      <c r="T3">
        <f>IF(F3="","",IF(AND(G3='Ruta de hoy'!$B$4,N(D3)&gt;0),COUNTIFS($G$2:G3,'Ruta de hoy'!$B$4,$D$2:D3,"&gt;0"),""))</f>
        <v/>
      </c>
    </row>
    <row r="4">
      <c r="A4" t="inlineStr">
        <is>
          <t>Fonda Doña Rosa</t>
        </is>
      </c>
      <c r="B4" t="inlineStr">
        <is>
          <t>+52 55 0000 0083</t>
        </is>
      </c>
      <c r="C4" t="inlineStr"/>
      <c r="D4" s="3">
        <f>IF(F4="","",MAX(0,M4-N4))</f>
        <v/>
      </c>
      <c r="E4" t="inlineStr">
        <is>
          <t>activo</t>
        </is>
      </c>
      <c r="F4" t="inlineStr">
        <is>
          <t>D-103</t>
        </is>
      </c>
      <c r="G4" t="inlineStr">
        <is>
          <t>Mercado</t>
        </is>
      </c>
      <c r="H4" s="4" t="n">
        <v>46296</v>
      </c>
      <c r="I4" s="3" t="n">
        <v>5000</v>
      </c>
      <c r="J4" s="3" t="n">
        <v>250</v>
      </c>
      <c r="K4" t="n">
        <v>24</v>
      </c>
      <c r="L4" t="inlineStr">
        <is>
          <t>sí</t>
        </is>
      </c>
      <c r="M4" s="3">
        <f>IF(F4="","",J4*K4)</f>
        <v/>
      </c>
      <c r="N4" s="3">
        <f>IF(F4="","",SUMIF(Abonos!$B$2:$B$5000,F4,Abonos!$C$2:$C$5000))</f>
        <v/>
      </c>
      <c r="O4">
        <f>IF(F4="","",MIN(K4,IF(TODAY()&lt;=H4,0,IF(L4="sí",TODAY()-H4,NETWORKDAYS.INTL(H4+1,TODAY(),11)))))</f>
        <v/>
      </c>
      <c r="P4" s="3">
        <f>IF(F4="","",O4*J4)</f>
        <v/>
      </c>
      <c r="Q4" s="3">
        <f>IF(F4="","",MAX(0,P4-N4))</f>
        <v/>
      </c>
      <c r="R4">
        <f>IF(F4="","",IF(N(J4)=0,0,ROUNDUP(Q4/J4,0)))</f>
        <v/>
      </c>
      <c r="S4" s="4">
        <f>IF(F4="","",IFERROR(1/(1/_xlfn.MAXIFS(Abonos!$A$2:$A$5000,Abonos!$B$2:$B$5000,F4)),""))</f>
        <v/>
      </c>
      <c r="T4">
        <f>IF(F4="","",IF(AND(G4='Ruta de hoy'!$B$4,N(D4)&gt;0),COUNTIFS($G$2:G4,'Ruta de hoy'!$B$4,$D$2:D4,"&gt;0"),""))</f>
        <v/>
      </c>
    </row>
    <row r="5">
      <c r="A5" t="inlineStr">
        <is>
          <t>Jaime Ortiz</t>
        </is>
      </c>
      <c r="B5" t="inlineStr">
        <is>
          <t>+52 55 0000 0084</t>
        </is>
      </c>
      <c r="C5" t="inlineStr"/>
      <c r="D5" s="3">
        <f>IF(F5="","",MAX(0,M5-N5))</f>
        <v/>
      </c>
      <c r="E5" t="inlineStr">
        <is>
          <t>activo</t>
        </is>
      </c>
      <c r="F5" t="inlineStr">
        <is>
          <t>D-104</t>
        </is>
      </c>
      <c r="G5" t="inlineStr">
        <is>
          <t>Mercado</t>
        </is>
      </c>
      <c r="H5" s="4" t="n">
        <v>46300</v>
      </c>
      <c r="I5" s="3" t="n">
        <v>1500</v>
      </c>
      <c r="J5" s="3" t="n">
        <v>75</v>
      </c>
      <c r="K5" t="n">
        <v>24</v>
      </c>
      <c r="L5" t="inlineStr">
        <is>
          <t>no</t>
        </is>
      </c>
      <c r="M5" s="3">
        <f>IF(F5="","",J5*K5)</f>
        <v/>
      </c>
      <c r="N5" s="3">
        <f>IF(F5="","",SUMIF(Abonos!$B$2:$B$5000,F5,Abonos!$C$2:$C$5000))</f>
        <v/>
      </c>
      <c r="O5">
        <f>IF(F5="","",MIN(K5,IF(TODAY()&lt;=H5,0,IF(L5="sí",TODAY()-H5,NETWORKDAYS.INTL(H5+1,TODAY(),11)))))</f>
        <v/>
      </c>
      <c r="P5" s="3">
        <f>IF(F5="","",O5*J5)</f>
        <v/>
      </c>
      <c r="Q5" s="3">
        <f>IF(F5="","",MAX(0,P5-N5))</f>
        <v/>
      </c>
      <c r="R5">
        <f>IF(F5="","",IF(N(J5)=0,0,ROUNDUP(Q5/J5,0)))</f>
        <v/>
      </c>
      <c r="S5" s="4">
        <f>IF(F5="","",IFERROR(1/(1/_xlfn.MAXIFS(Abonos!$A$2:$A$5000,Abonos!$B$2:$B$5000,F5)),""))</f>
        <v/>
      </c>
      <c r="T5">
        <f>IF(F5="","",IF(AND(G5='Ruta de hoy'!$B$4,N(D5)&gt;0),COUNTIFS($G$2:G5,'Ruta de hoy'!$B$4,$D$2:D5,"&gt;0"),""))</f>
        <v/>
      </c>
    </row>
    <row r="6">
      <c r="D6" s="3">
        <f>IF(F6="","",MAX(0,M6-N6))</f>
        <v/>
      </c>
      <c r="H6" s="4" t="n"/>
      <c r="I6" s="3" t="n"/>
      <c r="J6" s="3" t="n"/>
      <c r="M6" s="3">
        <f>IF(F6="","",J6*K6)</f>
        <v/>
      </c>
      <c r="N6" s="3">
        <f>IF(F6="","",SUMIF(Abonos!$B$2:$B$5000,F6,Abonos!$C$2:$C$5000))</f>
        <v/>
      </c>
      <c r="O6">
        <f>IF(F6="","",MIN(K6,IF(TODAY()&lt;=H6,0,IF(L6="sí",TODAY()-H6,NETWORKDAYS.INTL(H6+1,TODAY(),11)))))</f>
        <v/>
      </c>
      <c r="P6" s="3">
        <f>IF(F6="","",O6*J6)</f>
        <v/>
      </c>
      <c r="Q6" s="3">
        <f>IF(F6="","",MAX(0,P6-N6))</f>
        <v/>
      </c>
      <c r="R6">
        <f>IF(F6="","",IF(N(J6)=0,0,ROUNDUP(Q6/J6,0)))</f>
        <v/>
      </c>
      <c r="S6" s="4">
        <f>IF(F6="","",IFERROR(1/(1/_xlfn.MAXIFS(Abonos!$A$2:$A$5000,Abonos!$B$2:$B$5000,F6)),""))</f>
        <v/>
      </c>
      <c r="T6">
        <f>IF(F6="","",IF(AND(G6='Ruta de hoy'!$B$4,N(D6)&gt;0),COUNTIFS($G$2:G6,'Ruta de hoy'!$B$4,$D$2:D6,"&gt;0"),""))</f>
        <v/>
      </c>
    </row>
    <row r="7">
      <c r="D7" s="3">
        <f>IF(F7="","",MAX(0,M7-N7))</f>
        <v/>
      </c>
      <c r="H7" s="4" t="n"/>
      <c r="I7" s="3" t="n"/>
      <c r="J7" s="3" t="n"/>
      <c r="M7" s="3">
        <f>IF(F7="","",J7*K7)</f>
        <v/>
      </c>
      <c r="N7" s="3">
        <f>IF(F7="","",SUMIF(Abonos!$B$2:$B$5000,F7,Abonos!$C$2:$C$5000))</f>
        <v/>
      </c>
      <c r="O7">
        <f>IF(F7="","",MIN(K7,IF(TODAY()&lt;=H7,0,IF(L7="sí",TODAY()-H7,NETWORKDAYS.INTL(H7+1,TODAY(),11)))))</f>
        <v/>
      </c>
      <c r="P7" s="3">
        <f>IF(F7="","",O7*J7)</f>
        <v/>
      </c>
      <c r="Q7" s="3">
        <f>IF(F7="","",MAX(0,P7-N7))</f>
        <v/>
      </c>
      <c r="R7">
        <f>IF(F7="","",IF(N(J7)=0,0,ROUNDUP(Q7/J7,0)))</f>
        <v/>
      </c>
      <c r="S7" s="4">
        <f>IF(F7="","",IFERROR(1/(1/_xlfn.MAXIFS(Abonos!$A$2:$A$5000,Abonos!$B$2:$B$5000,F7)),""))</f>
        <v/>
      </c>
      <c r="T7">
        <f>IF(F7="","",IF(AND(G7='Ruta de hoy'!$B$4,N(D7)&gt;0),COUNTIFS($G$2:G7,'Ruta de hoy'!$B$4,$D$2:D7,"&gt;0"),""))</f>
        <v/>
      </c>
    </row>
    <row r="8">
      <c r="D8" s="3">
        <f>IF(F8="","",MAX(0,M8-N8))</f>
        <v/>
      </c>
      <c r="H8" s="4" t="n"/>
      <c r="I8" s="3" t="n"/>
      <c r="J8" s="3" t="n"/>
      <c r="M8" s="3">
        <f>IF(F8="","",J8*K8)</f>
        <v/>
      </c>
      <c r="N8" s="3">
        <f>IF(F8="","",SUMIF(Abonos!$B$2:$B$5000,F8,Abonos!$C$2:$C$5000))</f>
        <v/>
      </c>
      <c r="O8">
        <f>IF(F8="","",MIN(K8,IF(TODAY()&lt;=H8,0,IF(L8="sí",TODAY()-H8,NETWORKDAYS.INTL(H8+1,TODAY(),11)))))</f>
        <v/>
      </c>
      <c r="P8" s="3">
        <f>IF(F8="","",O8*J8)</f>
        <v/>
      </c>
      <c r="Q8" s="3">
        <f>IF(F8="","",MAX(0,P8-N8))</f>
        <v/>
      </c>
      <c r="R8">
        <f>IF(F8="","",IF(N(J8)=0,0,ROUNDUP(Q8/J8,0)))</f>
        <v/>
      </c>
      <c r="S8" s="4">
        <f>IF(F8="","",IFERROR(1/(1/_xlfn.MAXIFS(Abonos!$A$2:$A$5000,Abonos!$B$2:$B$5000,F8)),""))</f>
        <v/>
      </c>
      <c r="T8">
        <f>IF(F8="","",IF(AND(G8='Ruta de hoy'!$B$4,N(D8)&gt;0),COUNTIFS($G$2:G8,'Ruta de hoy'!$B$4,$D$2:D8,"&gt;0"),""))</f>
        <v/>
      </c>
    </row>
    <row r="9">
      <c r="D9" s="3">
        <f>IF(F9="","",MAX(0,M9-N9))</f>
        <v/>
      </c>
      <c r="H9" s="4" t="n"/>
      <c r="I9" s="3" t="n"/>
      <c r="J9" s="3" t="n"/>
      <c r="M9" s="3">
        <f>IF(F9="","",J9*K9)</f>
        <v/>
      </c>
      <c r="N9" s="3">
        <f>IF(F9="","",SUMIF(Abonos!$B$2:$B$5000,F9,Abonos!$C$2:$C$5000))</f>
        <v/>
      </c>
      <c r="O9">
        <f>IF(F9="","",MIN(K9,IF(TODAY()&lt;=H9,0,IF(L9="sí",TODAY()-H9,NETWORKDAYS.INTL(H9+1,TODAY(),11)))))</f>
        <v/>
      </c>
      <c r="P9" s="3">
        <f>IF(F9="","",O9*J9)</f>
        <v/>
      </c>
      <c r="Q9" s="3">
        <f>IF(F9="","",MAX(0,P9-N9))</f>
        <v/>
      </c>
      <c r="R9">
        <f>IF(F9="","",IF(N(J9)=0,0,ROUNDUP(Q9/J9,0)))</f>
        <v/>
      </c>
      <c r="S9" s="4">
        <f>IF(F9="","",IFERROR(1/(1/_xlfn.MAXIFS(Abonos!$A$2:$A$5000,Abonos!$B$2:$B$5000,F9)),""))</f>
        <v/>
      </c>
      <c r="T9">
        <f>IF(F9="","",IF(AND(G9='Ruta de hoy'!$B$4,N(D9)&gt;0),COUNTIFS($G$2:G9,'Ruta de hoy'!$B$4,$D$2:D9,"&gt;0"),""))</f>
        <v/>
      </c>
    </row>
    <row r="10">
      <c r="D10" s="3">
        <f>IF(F10="","",MAX(0,M10-N10))</f>
        <v/>
      </c>
      <c r="H10" s="4" t="n"/>
      <c r="I10" s="3" t="n"/>
      <c r="J10" s="3" t="n"/>
      <c r="M10" s="3">
        <f>IF(F10="","",J10*K10)</f>
        <v/>
      </c>
      <c r="N10" s="3">
        <f>IF(F10="","",SUMIF(Abonos!$B$2:$B$5000,F10,Abonos!$C$2:$C$5000))</f>
        <v/>
      </c>
      <c r="O10">
        <f>IF(F10="","",MIN(K10,IF(TODAY()&lt;=H10,0,IF(L10="sí",TODAY()-H10,NETWORKDAYS.INTL(H10+1,TODAY(),11)))))</f>
        <v/>
      </c>
      <c r="P10" s="3">
        <f>IF(F10="","",O10*J10)</f>
        <v/>
      </c>
      <c r="Q10" s="3">
        <f>IF(F10="","",MAX(0,P10-N10))</f>
        <v/>
      </c>
      <c r="R10">
        <f>IF(F10="","",IF(N(J10)=0,0,ROUNDUP(Q10/J10,0)))</f>
        <v/>
      </c>
      <c r="S10" s="4">
        <f>IF(F10="","",IFERROR(1/(1/_xlfn.MAXIFS(Abonos!$A$2:$A$5000,Abonos!$B$2:$B$5000,F10)),""))</f>
        <v/>
      </c>
      <c r="T10">
        <f>IF(F10="","",IF(AND(G10='Ruta de hoy'!$B$4,N(D10)&gt;0),COUNTIFS($G$2:G10,'Ruta de hoy'!$B$4,$D$2:D10,"&gt;0"),""))</f>
        <v/>
      </c>
    </row>
    <row r="11">
      <c r="D11" s="3">
        <f>IF(F11="","",MAX(0,M11-N11))</f>
        <v/>
      </c>
      <c r="H11" s="4" t="n"/>
      <c r="I11" s="3" t="n"/>
      <c r="J11" s="3" t="n"/>
      <c r="M11" s="3">
        <f>IF(F11="","",J11*K11)</f>
        <v/>
      </c>
      <c r="N11" s="3">
        <f>IF(F11="","",SUMIF(Abonos!$B$2:$B$5000,F11,Abonos!$C$2:$C$5000))</f>
        <v/>
      </c>
      <c r="O11">
        <f>IF(F11="","",MIN(K11,IF(TODAY()&lt;=H11,0,IF(L11="sí",TODAY()-H11,NETWORKDAYS.INTL(H11+1,TODAY(),11)))))</f>
        <v/>
      </c>
      <c r="P11" s="3">
        <f>IF(F11="","",O11*J11)</f>
        <v/>
      </c>
      <c r="Q11" s="3">
        <f>IF(F11="","",MAX(0,P11-N11))</f>
        <v/>
      </c>
      <c r="R11">
        <f>IF(F11="","",IF(N(J11)=0,0,ROUNDUP(Q11/J11,0)))</f>
        <v/>
      </c>
      <c r="S11" s="4">
        <f>IF(F11="","",IFERROR(1/(1/_xlfn.MAXIFS(Abonos!$A$2:$A$5000,Abonos!$B$2:$B$5000,F11)),""))</f>
        <v/>
      </c>
      <c r="T11">
        <f>IF(F11="","",IF(AND(G11='Ruta de hoy'!$B$4,N(D11)&gt;0),COUNTIFS($G$2:G11,'Ruta de hoy'!$B$4,$D$2:D11,"&gt;0"),""))</f>
        <v/>
      </c>
    </row>
    <row r="12">
      <c r="D12" s="3">
        <f>IF(F12="","",MAX(0,M12-N12))</f>
        <v/>
      </c>
      <c r="H12" s="4" t="n"/>
      <c r="I12" s="3" t="n"/>
      <c r="J12" s="3" t="n"/>
      <c r="M12" s="3">
        <f>IF(F12="","",J12*K12)</f>
        <v/>
      </c>
      <c r="N12" s="3">
        <f>IF(F12="","",SUMIF(Abonos!$B$2:$B$5000,F12,Abonos!$C$2:$C$5000))</f>
        <v/>
      </c>
      <c r="O12">
        <f>IF(F12="","",MIN(K12,IF(TODAY()&lt;=H12,0,IF(L12="sí",TODAY()-H12,NETWORKDAYS.INTL(H12+1,TODAY(),11)))))</f>
        <v/>
      </c>
      <c r="P12" s="3">
        <f>IF(F12="","",O12*J12)</f>
        <v/>
      </c>
      <c r="Q12" s="3">
        <f>IF(F12="","",MAX(0,P12-N12))</f>
        <v/>
      </c>
      <c r="R12">
        <f>IF(F12="","",IF(N(J12)=0,0,ROUNDUP(Q12/J12,0)))</f>
        <v/>
      </c>
      <c r="S12" s="4">
        <f>IF(F12="","",IFERROR(1/(1/_xlfn.MAXIFS(Abonos!$A$2:$A$5000,Abonos!$B$2:$B$5000,F12)),""))</f>
        <v/>
      </c>
      <c r="T12">
        <f>IF(F12="","",IF(AND(G12='Ruta de hoy'!$B$4,N(D12)&gt;0),COUNTIFS($G$2:G12,'Ruta de hoy'!$B$4,$D$2:D12,"&gt;0"),""))</f>
        <v/>
      </c>
    </row>
    <row r="13">
      <c r="D13" s="3">
        <f>IF(F13="","",MAX(0,M13-N13))</f>
        <v/>
      </c>
      <c r="H13" s="4" t="n"/>
      <c r="I13" s="3" t="n"/>
      <c r="J13" s="3" t="n"/>
      <c r="M13" s="3">
        <f>IF(F13="","",J13*K13)</f>
        <v/>
      </c>
      <c r="N13" s="3">
        <f>IF(F13="","",SUMIF(Abonos!$B$2:$B$5000,F13,Abonos!$C$2:$C$5000))</f>
        <v/>
      </c>
      <c r="O13">
        <f>IF(F13="","",MIN(K13,IF(TODAY()&lt;=H13,0,IF(L13="sí",TODAY()-H13,NETWORKDAYS.INTL(H13+1,TODAY(),11)))))</f>
        <v/>
      </c>
      <c r="P13" s="3">
        <f>IF(F13="","",O13*J13)</f>
        <v/>
      </c>
      <c r="Q13" s="3">
        <f>IF(F13="","",MAX(0,P13-N13))</f>
        <v/>
      </c>
      <c r="R13">
        <f>IF(F13="","",IF(N(J13)=0,0,ROUNDUP(Q13/J13,0)))</f>
        <v/>
      </c>
      <c r="S13" s="4">
        <f>IF(F13="","",IFERROR(1/(1/_xlfn.MAXIFS(Abonos!$A$2:$A$5000,Abonos!$B$2:$B$5000,F13)),""))</f>
        <v/>
      </c>
      <c r="T13">
        <f>IF(F13="","",IF(AND(G13='Ruta de hoy'!$B$4,N(D13)&gt;0),COUNTIFS($G$2:G13,'Ruta de hoy'!$B$4,$D$2:D13,"&gt;0"),""))</f>
        <v/>
      </c>
    </row>
    <row r="14">
      <c r="D14" s="3">
        <f>IF(F14="","",MAX(0,M14-N14))</f>
        <v/>
      </c>
      <c r="H14" s="4" t="n"/>
      <c r="I14" s="3" t="n"/>
      <c r="J14" s="3" t="n"/>
      <c r="M14" s="3">
        <f>IF(F14="","",J14*K14)</f>
        <v/>
      </c>
      <c r="N14" s="3">
        <f>IF(F14="","",SUMIF(Abonos!$B$2:$B$5000,F14,Abonos!$C$2:$C$5000))</f>
        <v/>
      </c>
      <c r="O14">
        <f>IF(F14="","",MIN(K14,IF(TODAY()&lt;=H14,0,IF(L14="sí",TODAY()-H14,NETWORKDAYS.INTL(H14+1,TODAY(),11)))))</f>
        <v/>
      </c>
      <c r="P14" s="3">
        <f>IF(F14="","",O14*J14)</f>
        <v/>
      </c>
      <c r="Q14" s="3">
        <f>IF(F14="","",MAX(0,P14-N14))</f>
        <v/>
      </c>
      <c r="R14">
        <f>IF(F14="","",IF(N(J14)=0,0,ROUNDUP(Q14/J14,0)))</f>
        <v/>
      </c>
      <c r="S14" s="4">
        <f>IF(F14="","",IFERROR(1/(1/_xlfn.MAXIFS(Abonos!$A$2:$A$5000,Abonos!$B$2:$B$5000,F14)),""))</f>
        <v/>
      </c>
      <c r="T14">
        <f>IF(F14="","",IF(AND(G14='Ruta de hoy'!$B$4,N(D14)&gt;0),COUNTIFS($G$2:G14,'Ruta de hoy'!$B$4,$D$2:D14,"&gt;0"),""))</f>
        <v/>
      </c>
    </row>
    <row r="15">
      <c r="D15" s="3">
        <f>IF(F15="","",MAX(0,M15-N15))</f>
        <v/>
      </c>
      <c r="H15" s="4" t="n"/>
      <c r="I15" s="3" t="n"/>
      <c r="J15" s="3" t="n"/>
      <c r="M15" s="3">
        <f>IF(F15="","",J15*K15)</f>
        <v/>
      </c>
      <c r="N15" s="3">
        <f>IF(F15="","",SUMIF(Abonos!$B$2:$B$5000,F15,Abonos!$C$2:$C$5000))</f>
        <v/>
      </c>
      <c r="O15">
        <f>IF(F15="","",MIN(K15,IF(TODAY()&lt;=H15,0,IF(L15="sí",TODAY()-H15,NETWORKDAYS.INTL(H15+1,TODAY(),11)))))</f>
        <v/>
      </c>
      <c r="P15" s="3">
        <f>IF(F15="","",O15*J15)</f>
        <v/>
      </c>
      <c r="Q15" s="3">
        <f>IF(F15="","",MAX(0,P15-N15))</f>
        <v/>
      </c>
      <c r="R15">
        <f>IF(F15="","",IF(N(J15)=0,0,ROUNDUP(Q15/J15,0)))</f>
        <v/>
      </c>
      <c r="S15" s="4">
        <f>IF(F15="","",IFERROR(1/(1/_xlfn.MAXIFS(Abonos!$A$2:$A$5000,Abonos!$B$2:$B$5000,F15)),""))</f>
        <v/>
      </c>
      <c r="T15">
        <f>IF(F15="","",IF(AND(G15='Ruta de hoy'!$B$4,N(D15)&gt;0),COUNTIFS($G$2:G15,'Ruta de hoy'!$B$4,$D$2:D15,"&gt;0"),""))</f>
        <v/>
      </c>
    </row>
    <row r="16">
      <c r="D16" s="3">
        <f>IF(F16="","",MAX(0,M16-N16))</f>
        <v/>
      </c>
      <c r="H16" s="4" t="n"/>
      <c r="I16" s="3" t="n"/>
      <c r="J16" s="3" t="n"/>
      <c r="M16" s="3">
        <f>IF(F16="","",J16*K16)</f>
        <v/>
      </c>
      <c r="N16" s="3">
        <f>IF(F16="","",SUMIF(Abonos!$B$2:$B$5000,F16,Abonos!$C$2:$C$5000))</f>
        <v/>
      </c>
      <c r="O16">
        <f>IF(F16="","",MIN(K16,IF(TODAY()&lt;=H16,0,IF(L16="sí",TODAY()-H16,NETWORKDAYS.INTL(H16+1,TODAY(),11)))))</f>
        <v/>
      </c>
      <c r="P16" s="3">
        <f>IF(F16="","",O16*J16)</f>
        <v/>
      </c>
      <c r="Q16" s="3">
        <f>IF(F16="","",MAX(0,P16-N16))</f>
        <v/>
      </c>
      <c r="R16">
        <f>IF(F16="","",IF(N(J16)=0,0,ROUNDUP(Q16/J16,0)))</f>
        <v/>
      </c>
      <c r="S16" s="4">
        <f>IF(F16="","",IFERROR(1/(1/_xlfn.MAXIFS(Abonos!$A$2:$A$5000,Abonos!$B$2:$B$5000,F16)),""))</f>
        <v/>
      </c>
      <c r="T16">
        <f>IF(F16="","",IF(AND(G16='Ruta de hoy'!$B$4,N(D16)&gt;0),COUNTIFS($G$2:G16,'Ruta de hoy'!$B$4,$D$2:D16,"&gt;0"),""))</f>
        <v/>
      </c>
    </row>
    <row r="17">
      <c r="D17" s="3">
        <f>IF(F17="","",MAX(0,M17-N17))</f>
        <v/>
      </c>
      <c r="H17" s="4" t="n"/>
      <c r="I17" s="3" t="n"/>
      <c r="J17" s="3" t="n"/>
      <c r="M17" s="3">
        <f>IF(F17="","",J17*K17)</f>
        <v/>
      </c>
      <c r="N17" s="3">
        <f>IF(F17="","",SUMIF(Abonos!$B$2:$B$5000,F17,Abonos!$C$2:$C$5000))</f>
        <v/>
      </c>
      <c r="O17">
        <f>IF(F17="","",MIN(K17,IF(TODAY()&lt;=H17,0,IF(L17="sí",TODAY()-H17,NETWORKDAYS.INTL(H17+1,TODAY(),11)))))</f>
        <v/>
      </c>
      <c r="P17" s="3">
        <f>IF(F17="","",O17*J17)</f>
        <v/>
      </c>
      <c r="Q17" s="3">
        <f>IF(F17="","",MAX(0,P17-N17))</f>
        <v/>
      </c>
      <c r="R17">
        <f>IF(F17="","",IF(N(J17)=0,0,ROUNDUP(Q17/J17,0)))</f>
        <v/>
      </c>
      <c r="S17" s="4">
        <f>IF(F17="","",IFERROR(1/(1/_xlfn.MAXIFS(Abonos!$A$2:$A$5000,Abonos!$B$2:$B$5000,F17)),""))</f>
        <v/>
      </c>
      <c r="T17">
        <f>IF(F17="","",IF(AND(G17='Ruta de hoy'!$B$4,N(D17)&gt;0),COUNTIFS($G$2:G17,'Ruta de hoy'!$B$4,$D$2:D17,"&gt;0"),""))</f>
        <v/>
      </c>
    </row>
    <row r="18">
      <c r="D18" s="3">
        <f>IF(F18="","",MAX(0,M18-N18))</f>
        <v/>
      </c>
      <c r="H18" s="4" t="n"/>
      <c r="I18" s="3" t="n"/>
      <c r="J18" s="3" t="n"/>
      <c r="M18" s="3">
        <f>IF(F18="","",J18*K18)</f>
        <v/>
      </c>
      <c r="N18" s="3">
        <f>IF(F18="","",SUMIF(Abonos!$B$2:$B$5000,F18,Abonos!$C$2:$C$5000))</f>
        <v/>
      </c>
      <c r="O18">
        <f>IF(F18="","",MIN(K18,IF(TODAY()&lt;=H18,0,IF(L18="sí",TODAY()-H18,NETWORKDAYS.INTL(H18+1,TODAY(),11)))))</f>
        <v/>
      </c>
      <c r="P18" s="3">
        <f>IF(F18="","",O18*J18)</f>
        <v/>
      </c>
      <c r="Q18" s="3">
        <f>IF(F18="","",MAX(0,P18-N18))</f>
        <v/>
      </c>
      <c r="R18">
        <f>IF(F18="","",IF(N(J18)=0,0,ROUNDUP(Q18/J18,0)))</f>
        <v/>
      </c>
      <c r="S18" s="4">
        <f>IF(F18="","",IFERROR(1/(1/_xlfn.MAXIFS(Abonos!$A$2:$A$5000,Abonos!$B$2:$B$5000,F18)),""))</f>
        <v/>
      </c>
      <c r="T18">
        <f>IF(F18="","",IF(AND(G18='Ruta de hoy'!$B$4,N(D18)&gt;0),COUNTIFS($G$2:G18,'Ruta de hoy'!$B$4,$D$2:D18,"&gt;0"),""))</f>
        <v/>
      </c>
    </row>
    <row r="19">
      <c r="D19" s="3">
        <f>IF(F19="","",MAX(0,M19-N19))</f>
        <v/>
      </c>
      <c r="H19" s="4" t="n"/>
      <c r="I19" s="3" t="n"/>
      <c r="J19" s="3" t="n"/>
      <c r="M19" s="3">
        <f>IF(F19="","",J19*K19)</f>
        <v/>
      </c>
      <c r="N19" s="3">
        <f>IF(F19="","",SUMIF(Abonos!$B$2:$B$5000,F19,Abonos!$C$2:$C$5000))</f>
        <v/>
      </c>
      <c r="O19">
        <f>IF(F19="","",MIN(K19,IF(TODAY()&lt;=H19,0,IF(L19="sí",TODAY()-H19,NETWORKDAYS.INTL(H19+1,TODAY(),11)))))</f>
        <v/>
      </c>
      <c r="P19" s="3">
        <f>IF(F19="","",O19*J19)</f>
        <v/>
      </c>
      <c r="Q19" s="3">
        <f>IF(F19="","",MAX(0,P19-N19))</f>
        <v/>
      </c>
      <c r="R19">
        <f>IF(F19="","",IF(N(J19)=0,0,ROUNDUP(Q19/J19,0)))</f>
        <v/>
      </c>
      <c r="S19" s="4">
        <f>IF(F19="","",IFERROR(1/(1/_xlfn.MAXIFS(Abonos!$A$2:$A$5000,Abonos!$B$2:$B$5000,F19)),""))</f>
        <v/>
      </c>
      <c r="T19">
        <f>IF(F19="","",IF(AND(G19='Ruta de hoy'!$B$4,N(D19)&gt;0),COUNTIFS($G$2:G19,'Ruta de hoy'!$B$4,$D$2:D19,"&gt;0"),""))</f>
        <v/>
      </c>
    </row>
    <row r="20">
      <c r="D20" s="3">
        <f>IF(F20="","",MAX(0,M20-N20))</f>
        <v/>
      </c>
      <c r="H20" s="4" t="n"/>
      <c r="I20" s="3" t="n"/>
      <c r="J20" s="3" t="n"/>
      <c r="M20" s="3">
        <f>IF(F20="","",J20*K20)</f>
        <v/>
      </c>
      <c r="N20" s="3">
        <f>IF(F20="","",SUMIF(Abonos!$B$2:$B$5000,F20,Abonos!$C$2:$C$5000))</f>
        <v/>
      </c>
      <c r="O20">
        <f>IF(F20="","",MIN(K20,IF(TODAY()&lt;=H20,0,IF(L20="sí",TODAY()-H20,NETWORKDAYS.INTL(H20+1,TODAY(),11)))))</f>
        <v/>
      </c>
      <c r="P20" s="3">
        <f>IF(F20="","",O20*J20)</f>
        <v/>
      </c>
      <c r="Q20" s="3">
        <f>IF(F20="","",MAX(0,P20-N20))</f>
        <v/>
      </c>
      <c r="R20">
        <f>IF(F20="","",IF(N(J20)=0,0,ROUNDUP(Q20/J20,0)))</f>
        <v/>
      </c>
      <c r="S20" s="4">
        <f>IF(F20="","",IFERROR(1/(1/_xlfn.MAXIFS(Abonos!$A$2:$A$5000,Abonos!$B$2:$B$5000,F20)),""))</f>
        <v/>
      </c>
      <c r="T20">
        <f>IF(F20="","",IF(AND(G20='Ruta de hoy'!$B$4,N(D20)&gt;0),COUNTIFS($G$2:G20,'Ruta de hoy'!$B$4,$D$2:D20,"&gt;0"),""))</f>
        <v/>
      </c>
    </row>
    <row r="21">
      <c r="D21" s="3">
        <f>IF(F21="","",MAX(0,M21-N21))</f>
        <v/>
      </c>
      <c r="H21" s="4" t="n"/>
      <c r="I21" s="3" t="n"/>
      <c r="J21" s="3" t="n"/>
      <c r="M21" s="3">
        <f>IF(F21="","",J21*K21)</f>
        <v/>
      </c>
      <c r="N21" s="3">
        <f>IF(F21="","",SUMIF(Abonos!$B$2:$B$5000,F21,Abonos!$C$2:$C$5000))</f>
        <v/>
      </c>
      <c r="O21">
        <f>IF(F21="","",MIN(K21,IF(TODAY()&lt;=H21,0,IF(L21="sí",TODAY()-H21,NETWORKDAYS.INTL(H21+1,TODAY(),11)))))</f>
        <v/>
      </c>
      <c r="P21" s="3">
        <f>IF(F21="","",O21*J21)</f>
        <v/>
      </c>
      <c r="Q21" s="3">
        <f>IF(F21="","",MAX(0,P21-N21))</f>
        <v/>
      </c>
      <c r="R21">
        <f>IF(F21="","",IF(N(J21)=0,0,ROUNDUP(Q21/J21,0)))</f>
        <v/>
      </c>
      <c r="S21" s="4">
        <f>IF(F21="","",IFERROR(1/(1/_xlfn.MAXIFS(Abonos!$A$2:$A$5000,Abonos!$B$2:$B$5000,F21)),""))</f>
        <v/>
      </c>
      <c r="T21">
        <f>IF(F21="","",IF(AND(G21='Ruta de hoy'!$B$4,N(D21)&gt;0),COUNTIFS($G$2:G21,'Ruta de hoy'!$B$4,$D$2:D21,"&gt;0"),""))</f>
        <v/>
      </c>
    </row>
    <row r="22">
      <c r="D22" s="3">
        <f>IF(F22="","",MAX(0,M22-N22))</f>
        <v/>
      </c>
      <c r="H22" s="4" t="n"/>
      <c r="I22" s="3" t="n"/>
      <c r="J22" s="3" t="n"/>
      <c r="M22" s="3">
        <f>IF(F22="","",J22*K22)</f>
        <v/>
      </c>
      <c r="N22" s="3">
        <f>IF(F22="","",SUMIF(Abonos!$B$2:$B$5000,F22,Abonos!$C$2:$C$5000))</f>
        <v/>
      </c>
      <c r="O22">
        <f>IF(F22="","",MIN(K22,IF(TODAY()&lt;=H22,0,IF(L22="sí",TODAY()-H22,NETWORKDAYS.INTL(H22+1,TODAY(),11)))))</f>
        <v/>
      </c>
      <c r="P22" s="3">
        <f>IF(F22="","",O22*J22)</f>
        <v/>
      </c>
      <c r="Q22" s="3">
        <f>IF(F22="","",MAX(0,P22-N22))</f>
        <v/>
      </c>
      <c r="R22">
        <f>IF(F22="","",IF(N(J22)=0,0,ROUNDUP(Q22/J22,0)))</f>
        <v/>
      </c>
      <c r="S22" s="4">
        <f>IF(F22="","",IFERROR(1/(1/_xlfn.MAXIFS(Abonos!$A$2:$A$5000,Abonos!$B$2:$B$5000,F22)),""))</f>
        <v/>
      </c>
      <c r="T22">
        <f>IF(F22="","",IF(AND(G22='Ruta de hoy'!$B$4,N(D22)&gt;0),COUNTIFS($G$2:G22,'Ruta de hoy'!$B$4,$D$2:D22,"&gt;0"),""))</f>
        <v/>
      </c>
    </row>
    <row r="23">
      <c r="D23" s="3">
        <f>IF(F23="","",MAX(0,M23-N23))</f>
        <v/>
      </c>
      <c r="H23" s="4" t="n"/>
      <c r="I23" s="3" t="n"/>
      <c r="J23" s="3" t="n"/>
      <c r="M23" s="3">
        <f>IF(F23="","",J23*K23)</f>
        <v/>
      </c>
      <c r="N23" s="3">
        <f>IF(F23="","",SUMIF(Abonos!$B$2:$B$5000,F23,Abonos!$C$2:$C$5000))</f>
        <v/>
      </c>
      <c r="O23">
        <f>IF(F23="","",MIN(K23,IF(TODAY()&lt;=H23,0,IF(L23="sí",TODAY()-H23,NETWORKDAYS.INTL(H23+1,TODAY(),11)))))</f>
        <v/>
      </c>
      <c r="P23" s="3">
        <f>IF(F23="","",O23*J23)</f>
        <v/>
      </c>
      <c r="Q23" s="3">
        <f>IF(F23="","",MAX(0,P23-N23))</f>
        <v/>
      </c>
      <c r="R23">
        <f>IF(F23="","",IF(N(J23)=0,0,ROUNDUP(Q23/J23,0)))</f>
        <v/>
      </c>
      <c r="S23" s="4">
        <f>IF(F23="","",IFERROR(1/(1/_xlfn.MAXIFS(Abonos!$A$2:$A$5000,Abonos!$B$2:$B$5000,F23)),""))</f>
        <v/>
      </c>
      <c r="T23">
        <f>IF(F23="","",IF(AND(G23='Ruta de hoy'!$B$4,N(D23)&gt;0),COUNTIFS($G$2:G23,'Ruta de hoy'!$B$4,$D$2:D23,"&gt;0"),""))</f>
        <v/>
      </c>
    </row>
    <row r="24">
      <c r="D24" s="3">
        <f>IF(F24="","",MAX(0,M24-N24))</f>
        <v/>
      </c>
      <c r="H24" s="4" t="n"/>
      <c r="I24" s="3" t="n"/>
      <c r="J24" s="3" t="n"/>
      <c r="M24" s="3">
        <f>IF(F24="","",J24*K24)</f>
        <v/>
      </c>
      <c r="N24" s="3">
        <f>IF(F24="","",SUMIF(Abonos!$B$2:$B$5000,F24,Abonos!$C$2:$C$5000))</f>
        <v/>
      </c>
      <c r="O24">
        <f>IF(F24="","",MIN(K24,IF(TODAY()&lt;=H24,0,IF(L24="sí",TODAY()-H24,NETWORKDAYS.INTL(H24+1,TODAY(),11)))))</f>
        <v/>
      </c>
      <c r="P24" s="3">
        <f>IF(F24="","",O24*J24)</f>
        <v/>
      </c>
      <c r="Q24" s="3">
        <f>IF(F24="","",MAX(0,P24-N24))</f>
        <v/>
      </c>
      <c r="R24">
        <f>IF(F24="","",IF(N(J24)=0,0,ROUNDUP(Q24/J24,0)))</f>
        <v/>
      </c>
      <c r="S24" s="4">
        <f>IF(F24="","",IFERROR(1/(1/_xlfn.MAXIFS(Abonos!$A$2:$A$5000,Abonos!$B$2:$B$5000,F24)),""))</f>
        <v/>
      </c>
      <c r="T24">
        <f>IF(F24="","",IF(AND(G24='Ruta de hoy'!$B$4,N(D24)&gt;0),COUNTIFS($G$2:G24,'Ruta de hoy'!$B$4,$D$2:D24,"&gt;0"),""))</f>
        <v/>
      </c>
    </row>
    <row r="25">
      <c r="D25" s="3">
        <f>IF(F25="","",MAX(0,M25-N25))</f>
        <v/>
      </c>
      <c r="H25" s="4" t="n"/>
      <c r="I25" s="3" t="n"/>
      <c r="J25" s="3" t="n"/>
      <c r="M25" s="3">
        <f>IF(F25="","",J25*K25)</f>
        <v/>
      </c>
      <c r="N25" s="3">
        <f>IF(F25="","",SUMIF(Abonos!$B$2:$B$5000,F25,Abonos!$C$2:$C$5000))</f>
        <v/>
      </c>
      <c r="O25">
        <f>IF(F25="","",MIN(K25,IF(TODAY()&lt;=H25,0,IF(L25="sí",TODAY()-H25,NETWORKDAYS.INTL(H25+1,TODAY(),11)))))</f>
        <v/>
      </c>
      <c r="P25" s="3">
        <f>IF(F25="","",O25*J25)</f>
        <v/>
      </c>
      <c r="Q25" s="3">
        <f>IF(F25="","",MAX(0,P25-N25))</f>
        <v/>
      </c>
      <c r="R25">
        <f>IF(F25="","",IF(N(J25)=0,0,ROUNDUP(Q25/J25,0)))</f>
        <v/>
      </c>
      <c r="S25" s="4">
        <f>IF(F25="","",IFERROR(1/(1/_xlfn.MAXIFS(Abonos!$A$2:$A$5000,Abonos!$B$2:$B$5000,F25)),""))</f>
        <v/>
      </c>
      <c r="T25">
        <f>IF(F25="","",IF(AND(G25='Ruta de hoy'!$B$4,N(D25)&gt;0),COUNTIFS($G$2:G25,'Ruta de hoy'!$B$4,$D$2:D25,"&gt;0"),""))</f>
        <v/>
      </c>
    </row>
    <row r="26">
      <c r="D26" s="3">
        <f>IF(F26="","",MAX(0,M26-N26))</f>
        <v/>
      </c>
      <c r="H26" s="4" t="n"/>
      <c r="I26" s="3" t="n"/>
      <c r="J26" s="3" t="n"/>
      <c r="M26" s="3">
        <f>IF(F26="","",J26*K26)</f>
        <v/>
      </c>
      <c r="N26" s="3">
        <f>IF(F26="","",SUMIF(Abonos!$B$2:$B$5000,F26,Abonos!$C$2:$C$5000))</f>
        <v/>
      </c>
      <c r="O26">
        <f>IF(F26="","",MIN(K26,IF(TODAY()&lt;=H26,0,IF(L26="sí",TODAY()-H26,NETWORKDAYS.INTL(H26+1,TODAY(),11)))))</f>
        <v/>
      </c>
      <c r="P26" s="3">
        <f>IF(F26="","",O26*J26)</f>
        <v/>
      </c>
      <c r="Q26" s="3">
        <f>IF(F26="","",MAX(0,P26-N26))</f>
        <v/>
      </c>
      <c r="R26">
        <f>IF(F26="","",IF(N(J26)=0,0,ROUNDUP(Q26/J26,0)))</f>
        <v/>
      </c>
      <c r="S26" s="4">
        <f>IF(F26="","",IFERROR(1/(1/_xlfn.MAXIFS(Abonos!$A$2:$A$5000,Abonos!$B$2:$B$5000,F26)),""))</f>
        <v/>
      </c>
      <c r="T26">
        <f>IF(F26="","",IF(AND(G26='Ruta de hoy'!$B$4,N(D26)&gt;0),COUNTIFS($G$2:G26,'Ruta de hoy'!$B$4,$D$2:D26,"&gt;0"),""))</f>
        <v/>
      </c>
    </row>
    <row r="27">
      <c r="D27" s="3">
        <f>IF(F27="","",MAX(0,M27-N27))</f>
        <v/>
      </c>
      <c r="H27" s="4" t="n"/>
      <c r="I27" s="3" t="n"/>
      <c r="J27" s="3" t="n"/>
      <c r="M27" s="3">
        <f>IF(F27="","",J27*K27)</f>
        <v/>
      </c>
      <c r="N27" s="3">
        <f>IF(F27="","",SUMIF(Abonos!$B$2:$B$5000,F27,Abonos!$C$2:$C$5000))</f>
        <v/>
      </c>
      <c r="O27">
        <f>IF(F27="","",MIN(K27,IF(TODAY()&lt;=H27,0,IF(L27="sí",TODAY()-H27,NETWORKDAYS.INTL(H27+1,TODAY(),11)))))</f>
        <v/>
      </c>
      <c r="P27" s="3">
        <f>IF(F27="","",O27*J27)</f>
        <v/>
      </c>
      <c r="Q27" s="3">
        <f>IF(F27="","",MAX(0,P27-N27))</f>
        <v/>
      </c>
      <c r="R27">
        <f>IF(F27="","",IF(N(J27)=0,0,ROUNDUP(Q27/J27,0)))</f>
        <v/>
      </c>
      <c r="S27" s="4">
        <f>IF(F27="","",IFERROR(1/(1/_xlfn.MAXIFS(Abonos!$A$2:$A$5000,Abonos!$B$2:$B$5000,F27)),""))</f>
        <v/>
      </c>
      <c r="T27">
        <f>IF(F27="","",IF(AND(G27='Ruta de hoy'!$B$4,N(D27)&gt;0),COUNTIFS($G$2:G27,'Ruta de hoy'!$B$4,$D$2:D27,"&gt;0"),""))</f>
        <v/>
      </c>
    </row>
    <row r="28">
      <c r="D28" s="3">
        <f>IF(F28="","",MAX(0,M28-N28))</f>
        <v/>
      </c>
      <c r="H28" s="4" t="n"/>
      <c r="I28" s="3" t="n"/>
      <c r="J28" s="3" t="n"/>
      <c r="M28" s="3">
        <f>IF(F28="","",J28*K28)</f>
        <v/>
      </c>
      <c r="N28" s="3">
        <f>IF(F28="","",SUMIF(Abonos!$B$2:$B$5000,F28,Abonos!$C$2:$C$5000))</f>
        <v/>
      </c>
      <c r="O28">
        <f>IF(F28="","",MIN(K28,IF(TODAY()&lt;=H28,0,IF(L28="sí",TODAY()-H28,NETWORKDAYS.INTL(H28+1,TODAY(),11)))))</f>
        <v/>
      </c>
      <c r="P28" s="3">
        <f>IF(F28="","",O28*J28)</f>
        <v/>
      </c>
      <c r="Q28" s="3">
        <f>IF(F28="","",MAX(0,P28-N28))</f>
        <v/>
      </c>
      <c r="R28">
        <f>IF(F28="","",IF(N(J28)=0,0,ROUNDUP(Q28/J28,0)))</f>
        <v/>
      </c>
      <c r="S28" s="4">
        <f>IF(F28="","",IFERROR(1/(1/_xlfn.MAXIFS(Abonos!$A$2:$A$5000,Abonos!$B$2:$B$5000,F28)),""))</f>
        <v/>
      </c>
      <c r="T28">
        <f>IF(F28="","",IF(AND(G28='Ruta de hoy'!$B$4,N(D28)&gt;0),COUNTIFS($G$2:G28,'Ruta de hoy'!$B$4,$D$2:D28,"&gt;0"),""))</f>
        <v/>
      </c>
    </row>
    <row r="29">
      <c r="D29" s="3">
        <f>IF(F29="","",MAX(0,M29-N29))</f>
        <v/>
      </c>
      <c r="H29" s="4" t="n"/>
      <c r="I29" s="3" t="n"/>
      <c r="J29" s="3" t="n"/>
      <c r="M29" s="3">
        <f>IF(F29="","",J29*K29)</f>
        <v/>
      </c>
      <c r="N29" s="3">
        <f>IF(F29="","",SUMIF(Abonos!$B$2:$B$5000,F29,Abonos!$C$2:$C$5000))</f>
        <v/>
      </c>
      <c r="O29">
        <f>IF(F29="","",MIN(K29,IF(TODAY()&lt;=H29,0,IF(L29="sí",TODAY()-H29,NETWORKDAYS.INTL(H29+1,TODAY(),11)))))</f>
        <v/>
      </c>
      <c r="P29" s="3">
        <f>IF(F29="","",O29*J29)</f>
        <v/>
      </c>
      <c r="Q29" s="3">
        <f>IF(F29="","",MAX(0,P29-N29))</f>
        <v/>
      </c>
      <c r="R29">
        <f>IF(F29="","",IF(N(J29)=0,0,ROUNDUP(Q29/J29,0)))</f>
        <v/>
      </c>
      <c r="S29" s="4">
        <f>IF(F29="","",IFERROR(1/(1/_xlfn.MAXIFS(Abonos!$A$2:$A$5000,Abonos!$B$2:$B$5000,F29)),""))</f>
        <v/>
      </c>
      <c r="T29">
        <f>IF(F29="","",IF(AND(G29='Ruta de hoy'!$B$4,N(D29)&gt;0),COUNTIFS($G$2:G29,'Ruta de hoy'!$B$4,$D$2:D29,"&gt;0"),""))</f>
        <v/>
      </c>
    </row>
    <row r="30">
      <c r="D30" s="3">
        <f>IF(F30="","",MAX(0,M30-N30))</f>
        <v/>
      </c>
      <c r="H30" s="4" t="n"/>
      <c r="I30" s="3" t="n"/>
      <c r="J30" s="3" t="n"/>
      <c r="M30" s="3">
        <f>IF(F30="","",J30*K30)</f>
        <v/>
      </c>
      <c r="N30" s="3">
        <f>IF(F30="","",SUMIF(Abonos!$B$2:$B$5000,F30,Abonos!$C$2:$C$5000))</f>
        <v/>
      </c>
      <c r="O30">
        <f>IF(F30="","",MIN(K30,IF(TODAY()&lt;=H30,0,IF(L30="sí",TODAY()-H30,NETWORKDAYS.INTL(H30+1,TODAY(),11)))))</f>
        <v/>
      </c>
      <c r="P30" s="3">
        <f>IF(F30="","",O30*J30)</f>
        <v/>
      </c>
      <c r="Q30" s="3">
        <f>IF(F30="","",MAX(0,P30-N30))</f>
        <v/>
      </c>
      <c r="R30">
        <f>IF(F30="","",IF(N(J30)=0,0,ROUNDUP(Q30/J30,0)))</f>
        <v/>
      </c>
      <c r="S30" s="4">
        <f>IF(F30="","",IFERROR(1/(1/_xlfn.MAXIFS(Abonos!$A$2:$A$5000,Abonos!$B$2:$B$5000,F30)),""))</f>
        <v/>
      </c>
      <c r="T30">
        <f>IF(F30="","",IF(AND(G30='Ruta de hoy'!$B$4,N(D30)&gt;0),COUNTIFS($G$2:G30,'Ruta de hoy'!$B$4,$D$2:D30,"&gt;0"),""))</f>
        <v/>
      </c>
    </row>
    <row r="31">
      <c r="D31" s="3">
        <f>IF(F31="","",MAX(0,M31-N31))</f>
        <v/>
      </c>
      <c r="H31" s="4" t="n"/>
      <c r="I31" s="3" t="n"/>
      <c r="J31" s="3" t="n"/>
      <c r="M31" s="3">
        <f>IF(F31="","",J31*K31)</f>
        <v/>
      </c>
      <c r="N31" s="3">
        <f>IF(F31="","",SUMIF(Abonos!$B$2:$B$5000,F31,Abonos!$C$2:$C$5000))</f>
        <v/>
      </c>
      <c r="O31">
        <f>IF(F31="","",MIN(K31,IF(TODAY()&lt;=H31,0,IF(L31="sí",TODAY()-H31,NETWORKDAYS.INTL(H31+1,TODAY(),11)))))</f>
        <v/>
      </c>
      <c r="P31" s="3">
        <f>IF(F31="","",O31*J31)</f>
        <v/>
      </c>
      <c r="Q31" s="3">
        <f>IF(F31="","",MAX(0,P31-N31))</f>
        <v/>
      </c>
      <c r="R31">
        <f>IF(F31="","",IF(N(J31)=0,0,ROUNDUP(Q31/J31,0)))</f>
        <v/>
      </c>
      <c r="S31" s="4">
        <f>IF(F31="","",IFERROR(1/(1/_xlfn.MAXIFS(Abonos!$A$2:$A$5000,Abonos!$B$2:$B$5000,F31)),""))</f>
        <v/>
      </c>
      <c r="T31">
        <f>IF(F31="","",IF(AND(G31='Ruta de hoy'!$B$4,N(D31)&gt;0),COUNTIFS($G$2:G31,'Ruta de hoy'!$B$4,$D$2:D31,"&gt;0"),""))</f>
        <v/>
      </c>
    </row>
    <row r="32">
      <c r="D32" s="3">
        <f>IF(F32="","",MAX(0,M32-N32))</f>
        <v/>
      </c>
      <c r="H32" s="4" t="n"/>
      <c r="I32" s="3" t="n"/>
      <c r="J32" s="3" t="n"/>
      <c r="M32" s="3">
        <f>IF(F32="","",J32*K32)</f>
        <v/>
      </c>
      <c r="N32" s="3">
        <f>IF(F32="","",SUMIF(Abonos!$B$2:$B$5000,F32,Abonos!$C$2:$C$5000))</f>
        <v/>
      </c>
      <c r="O32">
        <f>IF(F32="","",MIN(K32,IF(TODAY()&lt;=H32,0,IF(L32="sí",TODAY()-H32,NETWORKDAYS.INTL(H32+1,TODAY(),11)))))</f>
        <v/>
      </c>
      <c r="P32" s="3">
        <f>IF(F32="","",O32*J32)</f>
        <v/>
      </c>
      <c r="Q32" s="3">
        <f>IF(F32="","",MAX(0,P32-N32))</f>
        <v/>
      </c>
      <c r="R32">
        <f>IF(F32="","",IF(N(J32)=0,0,ROUNDUP(Q32/J32,0)))</f>
        <v/>
      </c>
      <c r="S32" s="4">
        <f>IF(F32="","",IFERROR(1/(1/_xlfn.MAXIFS(Abonos!$A$2:$A$5000,Abonos!$B$2:$B$5000,F32)),""))</f>
        <v/>
      </c>
      <c r="T32">
        <f>IF(F32="","",IF(AND(G32='Ruta de hoy'!$B$4,N(D32)&gt;0),COUNTIFS($G$2:G32,'Ruta de hoy'!$B$4,$D$2:D32,"&gt;0"),""))</f>
        <v/>
      </c>
    </row>
    <row r="33">
      <c r="D33" s="3">
        <f>IF(F33="","",MAX(0,M33-N33))</f>
        <v/>
      </c>
      <c r="H33" s="4" t="n"/>
      <c r="I33" s="3" t="n"/>
      <c r="J33" s="3" t="n"/>
      <c r="M33" s="3">
        <f>IF(F33="","",J33*K33)</f>
        <v/>
      </c>
      <c r="N33" s="3">
        <f>IF(F33="","",SUMIF(Abonos!$B$2:$B$5000,F33,Abonos!$C$2:$C$5000))</f>
        <v/>
      </c>
      <c r="O33">
        <f>IF(F33="","",MIN(K33,IF(TODAY()&lt;=H33,0,IF(L33="sí",TODAY()-H33,NETWORKDAYS.INTL(H33+1,TODAY(),11)))))</f>
        <v/>
      </c>
      <c r="P33" s="3">
        <f>IF(F33="","",O33*J33)</f>
        <v/>
      </c>
      <c r="Q33" s="3">
        <f>IF(F33="","",MAX(0,P33-N33))</f>
        <v/>
      </c>
      <c r="R33">
        <f>IF(F33="","",IF(N(J33)=0,0,ROUNDUP(Q33/J33,0)))</f>
        <v/>
      </c>
      <c r="S33" s="4">
        <f>IF(F33="","",IFERROR(1/(1/_xlfn.MAXIFS(Abonos!$A$2:$A$5000,Abonos!$B$2:$B$5000,F33)),""))</f>
        <v/>
      </c>
      <c r="T33">
        <f>IF(F33="","",IF(AND(G33='Ruta de hoy'!$B$4,N(D33)&gt;0),COUNTIFS($G$2:G33,'Ruta de hoy'!$B$4,$D$2:D33,"&gt;0"),""))</f>
        <v/>
      </c>
    </row>
    <row r="34">
      <c r="D34" s="3">
        <f>IF(F34="","",MAX(0,M34-N34))</f>
        <v/>
      </c>
      <c r="H34" s="4" t="n"/>
      <c r="I34" s="3" t="n"/>
      <c r="J34" s="3" t="n"/>
      <c r="M34" s="3">
        <f>IF(F34="","",J34*K34)</f>
        <v/>
      </c>
      <c r="N34" s="3">
        <f>IF(F34="","",SUMIF(Abonos!$B$2:$B$5000,F34,Abonos!$C$2:$C$5000))</f>
        <v/>
      </c>
      <c r="O34">
        <f>IF(F34="","",MIN(K34,IF(TODAY()&lt;=H34,0,IF(L34="sí",TODAY()-H34,NETWORKDAYS.INTL(H34+1,TODAY(),11)))))</f>
        <v/>
      </c>
      <c r="P34" s="3">
        <f>IF(F34="","",O34*J34)</f>
        <v/>
      </c>
      <c r="Q34" s="3">
        <f>IF(F34="","",MAX(0,P34-N34))</f>
        <v/>
      </c>
      <c r="R34">
        <f>IF(F34="","",IF(N(J34)=0,0,ROUNDUP(Q34/J34,0)))</f>
        <v/>
      </c>
      <c r="S34" s="4">
        <f>IF(F34="","",IFERROR(1/(1/_xlfn.MAXIFS(Abonos!$A$2:$A$5000,Abonos!$B$2:$B$5000,F34)),""))</f>
        <v/>
      </c>
      <c r="T34">
        <f>IF(F34="","",IF(AND(G34='Ruta de hoy'!$B$4,N(D34)&gt;0),COUNTIFS($G$2:G34,'Ruta de hoy'!$B$4,$D$2:D34,"&gt;0"),""))</f>
        <v/>
      </c>
    </row>
    <row r="35">
      <c r="D35" s="3">
        <f>IF(F35="","",MAX(0,M35-N35))</f>
        <v/>
      </c>
      <c r="H35" s="4" t="n"/>
      <c r="I35" s="3" t="n"/>
      <c r="J35" s="3" t="n"/>
      <c r="M35" s="3">
        <f>IF(F35="","",J35*K35)</f>
        <v/>
      </c>
      <c r="N35" s="3">
        <f>IF(F35="","",SUMIF(Abonos!$B$2:$B$5000,F35,Abonos!$C$2:$C$5000))</f>
        <v/>
      </c>
      <c r="O35">
        <f>IF(F35="","",MIN(K35,IF(TODAY()&lt;=H35,0,IF(L35="sí",TODAY()-H35,NETWORKDAYS.INTL(H35+1,TODAY(),11)))))</f>
        <v/>
      </c>
      <c r="P35" s="3">
        <f>IF(F35="","",O35*J35)</f>
        <v/>
      </c>
      <c r="Q35" s="3">
        <f>IF(F35="","",MAX(0,P35-N35))</f>
        <v/>
      </c>
      <c r="R35">
        <f>IF(F35="","",IF(N(J35)=0,0,ROUNDUP(Q35/J35,0)))</f>
        <v/>
      </c>
      <c r="S35" s="4">
        <f>IF(F35="","",IFERROR(1/(1/_xlfn.MAXIFS(Abonos!$A$2:$A$5000,Abonos!$B$2:$B$5000,F35)),""))</f>
        <v/>
      </c>
      <c r="T35">
        <f>IF(F35="","",IF(AND(G35='Ruta de hoy'!$B$4,N(D35)&gt;0),COUNTIFS($G$2:G35,'Ruta de hoy'!$B$4,$D$2:D35,"&gt;0"),""))</f>
        <v/>
      </c>
    </row>
    <row r="36">
      <c r="D36" s="3">
        <f>IF(F36="","",MAX(0,M36-N36))</f>
        <v/>
      </c>
      <c r="H36" s="4" t="n"/>
      <c r="I36" s="3" t="n"/>
      <c r="J36" s="3" t="n"/>
      <c r="M36" s="3">
        <f>IF(F36="","",J36*K36)</f>
        <v/>
      </c>
      <c r="N36" s="3">
        <f>IF(F36="","",SUMIF(Abonos!$B$2:$B$5000,F36,Abonos!$C$2:$C$5000))</f>
        <v/>
      </c>
      <c r="O36">
        <f>IF(F36="","",MIN(K36,IF(TODAY()&lt;=H36,0,IF(L36="sí",TODAY()-H36,NETWORKDAYS.INTL(H36+1,TODAY(),11)))))</f>
        <v/>
      </c>
      <c r="P36" s="3">
        <f>IF(F36="","",O36*J36)</f>
        <v/>
      </c>
      <c r="Q36" s="3">
        <f>IF(F36="","",MAX(0,P36-N36))</f>
        <v/>
      </c>
      <c r="R36">
        <f>IF(F36="","",IF(N(J36)=0,0,ROUNDUP(Q36/J36,0)))</f>
        <v/>
      </c>
      <c r="S36" s="4">
        <f>IF(F36="","",IFERROR(1/(1/_xlfn.MAXIFS(Abonos!$A$2:$A$5000,Abonos!$B$2:$B$5000,F36)),""))</f>
        <v/>
      </c>
      <c r="T36">
        <f>IF(F36="","",IF(AND(G36='Ruta de hoy'!$B$4,N(D36)&gt;0),COUNTIFS($G$2:G36,'Ruta de hoy'!$B$4,$D$2:D36,"&gt;0"),""))</f>
        <v/>
      </c>
    </row>
    <row r="37">
      <c r="D37" s="3">
        <f>IF(F37="","",MAX(0,M37-N37))</f>
        <v/>
      </c>
      <c r="H37" s="4" t="n"/>
      <c r="I37" s="3" t="n"/>
      <c r="J37" s="3" t="n"/>
      <c r="M37" s="3">
        <f>IF(F37="","",J37*K37)</f>
        <v/>
      </c>
      <c r="N37" s="3">
        <f>IF(F37="","",SUMIF(Abonos!$B$2:$B$5000,F37,Abonos!$C$2:$C$5000))</f>
        <v/>
      </c>
      <c r="O37">
        <f>IF(F37="","",MIN(K37,IF(TODAY()&lt;=H37,0,IF(L37="sí",TODAY()-H37,NETWORKDAYS.INTL(H37+1,TODAY(),11)))))</f>
        <v/>
      </c>
      <c r="P37" s="3">
        <f>IF(F37="","",O37*J37)</f>
        <v/>
      </c>
      <c r="Q37" s="3">
        <f>IF(F37="","",MAX(0,P37-N37))</f>
        <v/>
      </c>
      <c r="R37">
        <f>IF(F37="","",IF(N(J37)=0,0,ROUNDUP(Q37/J37,0)))</f>
        <v/>
      </c>
      <c r="S37" s="4">
        <f>IF(F37="","",IFERROR(1/(1/_xlfn.MAXIFS(Abonos!$A$2:$A$5000,Abonos!$B$2:$B$5000,F37)),""))</f>
        <v/>
      </c>
      <c r="T37">
        <f>IF(F37="","",IF(AND(G37='Ruta de hoy'!$B$4,N(D37)&gt;0),COUNTIFS($G$2:G37,'Ruta de hoy'!$B$4,$D$2:D37,"&gt;0"),""))</f>
        <v/>
      </c>
    </row>
    <row r="38">
      <c r="D38" s="3">
        <f>IF(F38="","",MAX(0,M38-N38))</f>
        <v/>
      </c>
      <c r="H38" s="4" t="n"/>
      <c r="I38" s="3" t="n"/>
      <c r="J38" s="3" t="n"/>
      <c r="M38" s="3">
        <f>IF(F38="","",J38*K38)</f>
        <v/>
      </c>
      <c r="N38" s="3">
        <f>IF(F38="","",SUMIF(Abonos!$B$2:$B$5000,F38,Abonos!$C$2:$C$5000))</f>
        <v/>
      </c>
      <c r="O38">
        <f>IF(F38="","",MIN(K38,IF(TODAY()&lt;=H38,0,IF(L38="sí",TODAY()-H38,NETWORKDAYS.INTL(H38+1,TODAY(),11)))))</f>
        <v/>
      </c>
      <c r="P38" s="3">
        <f>IF(F38="","",O38*J38)</f>
        <v/>
      </c>
      <c r="Q38" s="3">
        <f>IF(F38="","",MAX(0,P38-N38))</f>
        <v/>
      </c>
      <c r="R38">
        <f>IF(F38="","",IF(N(J38)=0,0,ROUNDUP(Q38/J38,0)))</f>
        <v/>
      </c>
      <c r="S38" s="4">
        <f>IF(F38="","",IFERROR(1/(1/_xlfn.MAXIFS(Abonos!$A$2:$A$5000,Abonos!$B$2:$B$5000,F38)),""))</f>
        <v/>
      </c>
      <c r="T38">
        <f>IF(F38="","",IF(AND(G38='Ruta de hoy'!$B$4,N(D38)&gt;0),COUNTIFS($G$2:G38,'Ruta de hoy'!$B$4,$D$2:D38,"&gt;0"),""))</f>
        <v/>
      </c>
    </row>
    <row r="39">
      <c r="D39" s="3">
        <f>IF(F39="","",MAX(0,M39-N39))</f>
        <v/>
      </c>
      <c r="H39" s="4" t="n"/>
      <c r="I39" s="3" t="n"/>
      <c r="J39" s="3" t="n"/>
      <c r="M39" s="3">
        <f>IF(F39="","",J39*K39)</f>
        <v/>
      </c>
      <c r="N39" s="3">
        <f>IF(F39="","",SUMIF(Abonos!$B$2:$B$5000,F39,Abonos!$C$2:$C$5000))</f>
        <v/>
      </c>
      <c r="O39">
        <f>IF(F39="","",MIN(K39,IF(TODAY()&lt;=H39,0,IF(L39="sí",TODAY()-H39,NETWORKDAYS.INTL(H39+1,TODAY(),11)))))</f>
        <v/>
      </c>
      <c r="P39" s="3">
        <f>IF(F39="","",O39*J39)</f>
        <v/>
      </c>
      <c r="Q39" s="3">
        <f>IF(F39="","",MAX(0,P39-N39))</f>
        <v/>
      </c>
      <c r="R39">
        <f>IF(F39="","",IF(N(J39)=0,0,ROUNDUP(Q39/J39,0)))</f>
        <v/>
      </c>
      <c r="S39" s="4">
        <f>IF(F39="","",IFERROR(1/(1/_xlfn.MAXIFS(Abonos!$A$2:$A$5000,Abonos!$B$2:$B$5000,F39)),""))</f>
        <v/>
      </c>
      <c r="T39">
        <f>IF(F39="","",IF(AND(G39='Ruta de hoy'!$B$4,N(D39)&gt;0),COUNTIFS($G$2:G39,'Ruta de hoy'!$B$4,$D$2:D39,"&gt;0"),""))</f>
        <v/>
      </c>
    </row>
    <row r="40">
      <c r="D40" s="3">
        <f>IF(F40="","",MAX(0,M40-N40))</f>
        <v/>
      </c>
      <c r="H40" s="4" t="n"/>
      <c r="I40" s="3" t="n"/>
      <c r="J40" s="3" t="n"/>
      <c r="M40" s="3">
        <f>IF(F40="","",J40*K40)</f>
        <v/>
      </c>
      <c r="N40" s="3">
        <f>IF(F40="","",SUMIF(Abonos!$B$2:$B$5000,F40,Abonos!$C$2:$C$5000))</f>
        <v/>
      </c>
      <c r="O40">
        <f>IF(F40="","",MIN(K40,IF(TODAY()&lt;=H40,0,IF(L40="sí",TODAY()-H40,NETWORKDAYS.INTL(H40+1,TODAY(),11)))))</f>
        <v/>
      </c>
      <c r="P40" s="3">
        <f>IF(F40="","",O40*J40)</f>
        <v/>
      </c>
      <c r="Q40" s="3">
        <f>IF(F40="","",MAX(0,P40-N40))</f>
        <v/>
      </c>
      <c r="R40">
        <f>IF(F40="","",IF(N(J40)=0,0,ROUNDUP(Q40/J40,0)))</f>
        <v/>
      </c>
      <c r="S40" s="4">
        <f>IF(F40="","",IFERROR(1/(1/_xlfn.MAXIFS(Abonos!$A$2:$A$5000,Abonos!$B$2:$B$5000,F40)),""))</f>
        <v/>
      </c>
      <c r="T40">
        <f>IF(F40="","",IF(AND(G40='Ruta de hoy'!$B$4,N(D40)&gt;0),COUNTIFS($G$2:G40,'Ruta de hoy'!$B$4,$D$2:D40,"&gt;0"),""))</f>
        <v/>
      </c>
    </row>
    <row r="41">
      <c r="D41" s="3">
        <f>IF(F41="","",MAX(0,M41-N41))</f>
        <v/>
      </c>
      <c r="H41" s="4" t="n"/>
      <c r="I41" s="3" t="n"/>
      <c r="J41" s="3" t="n"/>
      <c r="M41" s="3">
        <f>IF(F41="","",J41*K41)</f>
        <v/>
      </c>
      <c r="N41" s="3">
        <f>IF(F41="","",SUMIF(Abonos!$B$2:$B$5000,F41,Abonos!$C$2:$C$5000))</f>
        <v/>
      </c>
      <c r="O41">
        <f>IF(F41="","",MIN(K41,IF(TODAY()&lt;=H41,0,IF(L41="sí",TODAY()-H41,NETWORKDAYS.INTL(H41+1,TODAY(),11)))))</f>
        <v/>
      </c>
      <c r="P41" s="3">
        <f>IF(F41="","",O41*J41)</f>
        <v/>
      </c>
      <c r="Q41" s="3">
        <f>IF(F41="","",MAX(0,P41-N41))</f>
        <v/>
      </c>
      <c r="R41">
        <f>IF(F41="","",IF(N(J41)=0,0,ROUNDUP(Q41/J41,0)))</f>
        <v/>
      </c>
      <c r="S41" s="4">
        <f>IF(F41="","",IFERROR(1/(1/_xlfn.MAXIFS(Abonos!$A$2:$A$5000,Abonos!$B$2:$B$5000,F41)),""))</f>
        <v/>
      </c>
      <c r="T41">
        <f>IF(F41="","",IF(AND(G41='Ruta de hoy'!$B$4,N(D41)&gt;0),COUNTIFS($G$2:G41,'Ruta de hoy'!$B$4,$D$2:D41,"&gt;0"),""))</f>
        <v/>
      </c>
    </row>
    <row r="42">
      <c r="D42" s="3">
        <f>IF(F42="","",MAX(0,M42-N42))</f>
        <v/>
      </c>
      <c r="H42" s="4" t="n"/>
      <c r="I42" s="3" t="n"/>
      <c r="J42" s="3" t="n"/>
      <c r="M42" s="3">
        <f>IF(F42="","",J42*K42)</f>
        <v/>
      </c>
      <c r="N42" s="3">
        <f>IF(F42="","",SUMIF(Abonos!$B$2:$B$5000,F42,Abonos!$C$2:$C$5000))</f>
        <v/>
      </c>
      <c r="O42">
        <f>IF(F42="","",MIN(K42,IF(TODAY()&lt;=H42,0,IF(L42="sí",TODAY()-H42,NETWORKDAYS.INTL(H42+1,TODAY(),11)))))</f>
        <v/>
      </c>
      <c r="P42" s="3">
        <f>IF(F42="","",O42*J42)</f>
        <v/>
      </c>
      <c r="Q42" s="3">
        <f>IF(F42="","",MAX(0,P42-N42))</f>
        <v/>
      </c>
      <c r="R42">
        <f>IF(F42="","",IF(N(J42)=0,0,ROUNDUP(Q42/J42,0)))</f>
        <v/>
      </c>
      <c r="S42" s="4">
        <f>IF(F42="","",IFERROR(1/(1/_xlfn.MAXIFS(Abonos!$A$2:$A$5000,Abonos!$B$2:$B$5000,F42)),""))</f>
        <v/>
      </c>
      <c r="T42">
        <f>IF(F42="","",IF(AND(G42='Ruta de hoy'!$B$4,N(D42)&gt;0),COUNTIFS($G$2:G42,'Ruta de hoy'!$B$4,$D$2:D42,"&gt;0"),""))</f>
        <v/>
      </c>
    </row>
    <row r="43">
      <c r="D43" s="3">
        <f>IF(F43="","",MAX(0,M43-N43))</f>
        <v/>
      </c>
      <c r="H43" s="4" t="n"/>
      <c r="I43" s="3" t="n"/>
      <c r="J43" s="3" t="n"/>
      <c r="M43" s="3">
        <f>IF(F43="","",J43*K43)</f>
        <v/>
      </c>
      <c r="N43" s="3">
        <f>IF(F43="","",SUMIF(Abonos!$B$2:$B$5000,F43,Abonos!$C$2:$C$5000))</f>
        <v/>
      </c>
      <c r="O43">
        <f>IF(F43="","",MIN(K43,IF(TODAY()&lt;=H43,0,IF(L43="sí",TODAY()-H43,NETWORKDAYS.INTL(H43+1,TODAY(),11)))))</f>
        <v/>
      </c>
      <c r="P43" s="3">
        <f>IF(F43="","",O43*J43)</f>
        <v/>
      </c>
      <c r="Q43" s="3">
        <f>IF(F43="","",MAX(0,P43-N43))</f>
        <v/>
      </c>
      <c r="R43">
        <f>IF(F43="","",IF(N(J43)=0,0,ROUNDUP(Q43/J43,0)))</f>
        <v/>
      </c>
      <c r="S43" s="4">
        <f>IF(F43="","",IFERROR(1/(1/_xlfn.MAXIFS(Abonos!$A$2:$A$5000,Abonos!$B$2:$B$5000,F43)),""))</f>
        <v/>
      </c>
      <c r="T43">
        <f>IF(F43="","",IF(AND(G43='Ruta de hoy'!$B$4,N(D43)&gt;0),COUNTIFS($G$2:G43,'Ruta de hoy'!$B$4,$D$2:D43,"&gt;0"),""))</f>
        <v/>
      </c>
    </row>
    <row r="44">
      <c r="D44" s="3">
        <f>IF(F44="","",MAX(0,M44-N44))</f>
        <v/>
      </c>
      <c r="H44" s="4" t="n"/>
      <c r="I44" s="3" t="n"/>
      <c r="J44" s="3" t="n"/>
      <c r="M44" s="3">
        <f>IF(F44="","",J44*K44)</f>
        <v/>
      </c>
      <c r="N44" s="3">
        <f>IF(F44="","",SUMIF(Abonos!$B$2:$B$5000,F44,Abonos!$C$2:$C$5000))</f>
        <v/>
      </c>
      <c r="O44">
        <f>IF(F44="","",MIN(K44,IF(TODAY()&lt;=H44,0,IF(L44="sí",TODAY()-H44,NETWORKDAYS.INTL(H44+1,TODAY(),11)))))</f>
        <v/>
      </c>
      <c r="P44" s="3">
        <f>IF(F44="","",O44*J44)</f>
        <v/>
      </c>
      <c r="Q44" s="3">
        <f>IF(F44="","",MAX(0,P44-N44))</f>
        <v/>
      </c>
      <c r="R44">
        <f>IF(F44="","",IF(N(J44)=0,0,ROUNDUP(Q44/J44,0)))</f>
        <v/>
      </c>
      <c r="S44" s="4">
        <f>IF(F44="","",IFERROR(1/(1/_xlfn.MAXIFS(Abonos!$A$2:$A$5000,Abonos!$B$2:$B$5000,F44)),""))</f>
        <v/>
      </c>
      <c r="T44">
        <f>IF(F44="","",IF(AND(G44='Ruta de hoy'!$B$4,N(D44)&gt;0),COUNTIFS($G$2:G44,'Ruta de hoy'!$B$4,$D$2:D44,"&gt;0"),""))</f>
        <v/>
      </c>
    </row>
    <row r="45">
      <c r="D45" s="3">
        <f>IF(F45="","",MAX(0,M45-N45))</f>
        <v/>
      </c>
      <c r="H45" s="4" t="n"/>
      <c r="I45" s="3" t="n"/>
      <c r="J45" s="3" t="n"/>
      <c r="M45" s="3">
        <f>IF(F45="","",J45*K45)</f>
        <v/>
      </c>
      <c r="N45" s="3">
        <f>IF(F45="","",SUMIF(Abonos!$B$2:$B$5000,F45,Abonos!$C$2:$C$5000))</f>
        <v/>
      </c>
      <c r="O45">
        <f>IF(F45="","",MIN(K45,IF(TODAY()&lt;=H45,0,IF(L45="sí",TODAY()-H45,NETWORKDAYS.INTL(H45+1,TODAY(),11)))))</f>
        <v/>
      </c>
      <c r="P45" s="3">
        <f>IF(F45="","",O45*J45)</f>
        <v/>
      </c>
      <c r="Q45" s="3">
        <f>IF(F45="","",MAX(0,P45-N45))</f>
        <v/>
      </c>
      <c r="R45">
        <f>IF(F45="","",IF(N(J45)=0,0,ROUNDUP(Q45/J45,0)))</f>
        <v/>
      </c>
      <c r="S45" s="4">
        <f>IF(F45="","",IFERROR(1/(1/_xlfn.MAXIFS(Abonos!$A$2:$A$5000,Abonos!$B$2:$B$5000,F45)),""))</f>
        <v/>
      </c>
      <c r="T45">
        <f>IF(F45="","",IF(AND(G45='Ruta de hoy'!$B$4,N(D45)&gt;0),COUNTIFS($G$2:G45,'Ruta de hoy'!$B$4,$D$2:D45,"&gt;0"),""))</f>
        <v/>
      </c>
    </row>
    <row r="46">
      <c r="D46" s="3">
        <f>IF(F46="","",MAX(0,M46-N46))</f>
        <v/>
      </c>
      <c r="H46" s="4" t="n"/>
      <c r="I46" s="3" t="n"/>
      <c r="J46" s="3" t="n"/>
      <c r="M46" s="3">
        <f>IF(F46="","",J46*K46)</f>
        <v/>
      </c>
      <c r="N46" s="3">
        <f>IF(F46="","",SUMIF(Abonos!$B$2:$B$5000,F46,Abonos!$C$2:$C$5000))</f>
        <v/>
      </c>
      <c r="O46">
        <f>IF(F46="","",MIN(K46,IF(TODAY()&lt;=H46,0,IF(L46="sí",TODAY()-H46,NETWORKDAYS.INTL(H46+1,TODAY(),11)))))</f>
        <v/>
      </c>
      <c r="P46" s="3">
        <f>IF(F46="","",O46*J46)</f>
        <v/>
      </c>
      <c r="Q46" s="3">
        <f>IF(F46="","",MAX(0,P46-N46))</f>
        <v/>
      </c>
      <c r="R46">
        <f>IF(F46="","",IF(N(J46)=0,0,ROUNDUP(Q46/J46,0)))</f>
        <v/>
      </c>
      <c r="S46" s="4">
        <f>IF(F46="","",IFERROR(1/(1/_xlfn.MAXIFS(Abonos!$A$2:$A$5000,Abonos!$B$2:$B$5000,F46)),""))</f>
        <v/>
      </c>
      <c r="T46">
        <f>IF(F46="","",IF(AND(G46='Ruta de hoy'!$B$4,N(D46)&gt;0),COUNTIFS($G$2:G46,'Ruta de hoy'!$B$4,$D$2:D46,"&gt;0"),""))</f>
        <v/>
      </c>
    </row>
    <row r="47">
      <c r="D47" s="3">
        <f>IF(F47="","",MAX(0,M47-N47))</f>
        <v/>
      </c>
      <c r="H47" s="4" t="n"/>
      <c r="I47" s="3" t="n"/>
      <c r="J47" s="3" t="n"/>
      <c r="M47" s="3">
        <f>IF(F47="","",J47*K47)</f>
        <v/>
      </c>
      <c r="N47" s="3">
        <f>IF(F47="","",SUMIF(Abonos!$B$2:$B$5000,F47,Abonos!$C$2:$C$5000))</f>
        <v/>
      </c>
      <c r="O47">
        <f>IF(F47="","",MIN(K47,IF(TODAY()&lt;=H47,0,IF(L47="sí",TODAY()-H47,NETWORKDAYS.INTL(H47+1,TODAY(),11)))))</f>
        <v/>
      </c>
      <c r="P47" s="3">
        <f>IF(F47="","",O47*J47)</f>
        <v/>
      </c>
      <c r="Q47" s="3">
        <f>IF(F47="","",MAX(0,P47-N47))</f>
        <v/>
      </c>
      <c r="R47">
        <f>IF(F47="","",IF(N(J47)=0,0,ROUNDUP(Q47/J47,0)))</f>
        <v/>
      </c>
      <c r="S47" s="4">
        <f>IF(F47="","",IFERROR(1/(1/_xlfn.MAXIFS(Abonos!$A$2:$A$5000,Abonos!$B$2:$B$5000,F47)),""))</f>
        <v/>
      </c>
      <c r="T47">
        <f>IF(F47="","",IF(AND(G47='Ruta de hoy'!$B$4,N(D47)&gt;0),COUNTIFS($G$2:G47,'Ruta de hoy'!$B$4,$D$2:D47,"&gt;0"),""))</f>
        <v/>
      </c>
    </row>
    <row r="48">
      <c r="D48" s="3">
        <f>IF(F48="","",MAX(0,M48-N48))</f>
        <v/>
      </c>
      <c r="H48" s="4" t="n"/>
      <c r="I48" s="3" t="n"/>
      <c r="J48" s="3" t="n"/>
      <c r="M48" s="3">
        <f>IF(F48="","",J48*K48)</f>
        <v/>
      </c>
      <c r="N48" s="3">
        <f>IF(F48="","",SUMIF(Abonos!$B$2:$B$5000,F48,Abonos!$C$2:$C$5000))</f>
        <v/>
      </c>
      <c r="O48">
        <f>IF(F48="","",MIN(K48,IF(TODAY()&lt;=H48,0,IF(L48="sí",TODAY()-H48,NETWORKDAYS.INTL(H48+1,TODAY(),11)))))</f>
        <v/>
      </c>
      <c r="P48" s="3">
        <f>IF(F48="","",O48*J48)</f>
        <v/>
      </c>
      <c r="Q48" s="3">
        <f>IF(F48="","",MAX(0,P48-N48))</f>
        <v/>
      </c>
      <c r="R48">
        <f>IF(F48="","",IF(N(J48)=0,0,ROUNDUP(Q48/J48,0)))</f>
        <v/>
      </c>
      <c r="S48" s="4">
        <f>IF(F48="","",IFERROR(1/(1/_xlfn.MAXIFS(Abonos!$A$2:$A$5000,Abonos!$B$2:$B$5000,F48)),""))</f>
        <v/>
      </c>
      <c r="T48">
        <f>IF(F48="","",IF(AND(G48='Ruta de hoy'!$B$4,N(D48)&gt;0),COUNTIFS($G$2:G48,'Ruta de hoy'!$B$4,$D$2:D48,"&gt;0"),""))</f>
        <v/>
      </c>
    </row>
    <row r="49">
      <c r="D49" s="3">
        <f>IF(F49="","",MAX(0,M49-N49))</f>
        <v/>
      </c>
      <c r="H49" s="4" t="n"/>
      <c r="I49" s="3" t="n"/>
      <c r="J49" s="3" t="n"/>
      <c r="M49" s="3">
        <f>IF(F49="","",J49*K49)</f>
        <v/>
      </c>
      <c r="N49" s="3">
        <f>IF(F49="","",SUMIF(Abonos!$B$2:$B$5000,F49,Abonos!$C$2:$C$5000))</f>
        <v/>
      </c>
      <c r="O49">
        <f>IF(F49="","",MIN(K49,IF(TODAY()&lt;=H49,0,IF(L49="sí",TODAY()-H49,NETWORKDAYS.INTL(H49+1,TODAY(),11)))))</f>
        <v/>
      </c>
      <c r="P49" s="3">
        <f>IF(F49="","",O49*J49)</f>
        <v/>
      </c>
      <c r="Q49" s="3">
        <f>IF(F49="","",MAX(0,P49-N49))</f>
        <v/>
      </c>
      <c r="R49">
        <f>IF(F49="","",IF(N(J49)=0,0,ROUNDUP(Q49/J49,0)))</f>
        <v/>
      </c>
      <c r="S49" s="4">
        <f>IF(F49="","",IFERROR(1/(1/_xlfn.MAXIFS(Abonos!$A$2:$A$5000,Abonos!$B$2:$B$5000,F49)),""))</f>
        <v/>
      </c>
      <c r="T49">
        <f>IF(F49="","",IF(AND(G49='Ruta de hoy'!$B$4,N(D49)&gt;0),COUNTIFS($G$2:G49,'Ruta de hoy'!$B$4,$D$2:D49,"&gt;0"),""))</f>
        <v/>
      </c>
    </row>
    <row r="50">
      <c r="D50" s="3">
        <f>IF(F50="","",MAX(0,M50-N50))</f>
        <v/>
      </c>
      <c r="H50" s="4" t="n"/>
      <c r="I50" s="3" t="n"/>
      <c r="J50" s="3" t="n"/>
      <c r="M50" s="3">
        <f>IF(F50="","",J50*K50)</f>
        <v/>
      </c>
      <c r="N50" s="3">
        <f>IF(F50="","",SUMIF(Abonos!$B$2:$B$5000,F50,Abonos!$C$2:$C$5000))</f>
        <v/>
      </c>
      <c r="O50">
        <f>IF(F50="","",MIN(K50,IF(TODAY()&lt;=H50,0,IF(L50="sí",TODAY()-H50,NETWORKDAYS.INTL(H50+1,TODAY(),11)))))</f>
        <v/>
      </c>
      <c r="P50" s="3">
        <f>IF(F50="","",O50*J50)</f>
        <v/>
      </c>
      <c r="Q50" s="3">
        <f>IF(F50="","",MAX(0,P50-N50))</f>
        <v/>
      </c>
      <c r="R50">
        <f>IF(F50="","",IF(N(J50)=0,0,ROUNDUP(Q50/J50,0)))</f>
        <v/>
      </c>
      <c r="S50" s="4">
        <f>IF(F50="","",IFERROR(1/(1/_xlfn.MAXIFS(Abonos!$A$2:$A$5000,Abonos!$B$2:$B$5000,F50)),""))</f>
        <v/>
      </c>
      <c r="T50">
        <f>IF(F50="","",IF(AND(G50='Ruta de hoy'!$B$4,N(D50)&gt;0),COUNTIFS($G$2:G50,'Ruta de hoy'!$B$4,$D$2:D50,"&gt;0"),""))</f>
        <v/>
      </c>
    </row>
    <row r="51">
      <c r="D51" s="3">
        <f>IF(F51="","",MAX(0,M51-N51))</f>
        <v/>
      </c>
      <c r="H51" s="4" t="n"/>
      <c r="I51" s="3" t="n"/>
      <c r="J51" s="3" t="n"/>
      <c r="M51" s="3">
        <f>IF(F51="","",J51*K51)</f>
        <v/>
      </c>
      <c r="N51" s="3">
        <f>IF(F51="","",SUMIF(Abonos!$B$2:$B$5000,F51,Abonos!$C$2:$C$5000))</f>
        <v/>
      </c>
      <c r="O51">
        <f>IF(F51="","",MIN(K51,IF(TODAY()&lt;=H51,0,IF(L51="sí",TODAY()-H51,NETWORKDAYS.INTL(H51+1,TODAY(),11)))))</f>
        <v/>
      </c>
      <c r="P51" s="3">
        <f>IF(F51="","",O51*J51)</f>
        <v/>
      </c>
      <c r="Q51" s="3">
        <f>IF(F51="","",MAX(0,P51-N51))</f>
        <v/>
      </c>
      <c r="R51">
        <f>IF(F51="","",IF(N(J51)=0,0,ROUNDUP(Q51/J51,0)))</f>
        <v/>
      </c>
      <c r="S51" s="4">
        <f>IF(F51="","",IFERROR(1/(1/_xlfn.MAXIFS(Abonos!$A$2:$A$5000,Abonos!$B$2:$B$5000,F51)),""))</f>
        <v/>
      </c>
      <c r="T51">
        <f>IF(F51="","",IF(AND(G51='Ruta de hoy'!$B$4,N(D51)&gt;0),COUNTIFS($G$2:G51,'Ruta de hoy'!$B$4,$D$2:D51,"&gt;0"),""))</f>
        <v/>
      </c>
    </row>
    <row r="52">
      <c r="D52" s="3">
        <f>IF(F52="","",MAX(0,M52-N52))</f>
        <v/>
      </c>
      <c r="H52" s="4" t="n"/>
      <c r="I52" s="3" t="n"/>
      <c r="J52" s="3" t="n"/>
      <c r="M52" s="3">
        <f>IF(F52="","",J52*K52)</f>
        <v/>
      </c>
      <c r="N52" s="3">
        <f>IF(F52="","",SUMIF(Abonos!$B$2:$B$5000,F52,Abonos!$C$2:$C$5000))</f>
        <v/>
      </c>
      <c r="O52">
        <f>IF(F52="","",MIN(K52,IF(TODAY()&lt;=H52,0,IF(L52="sí",TODAY()-H52,NETWORKDAYS.INTL(H52+1,TODAY(),11)))))</f>
        <v/>
      </c>
      <c r="P52" s="3">
        <f>IF(F52="","",O52*J52)</f>
        <v/>
      </c>
      <c r="Q52" s="3">
        <f>IF(F52="","",MAX(0,P52-N52))</f>
        <v/>
      </c>
      <c r="R52">
        <f>IF(F52="","",IF(N(J52)=0,0,ROUNDUP(Q52/J52,0)))</f>
        <v/>
      </c>
      <c r="S52" s="4">
        <f>IF(F52="","",IFERROR(1/(1/_xlfn.MAXIFS(Abonos!$A$2:$A$5000,Abonos!$B$2:$B$5000,F52)),""))</f>
        <v/>
      </c>
      <c r="T52">
        <f>IF(F52="","",IF(AND(G52='Ruta de hoy'!$B$4,N(D52)&gt;0),COUNTIFS($G$2:G52,'Ruta de hoy'!$B$4,$D$2:D52,"&gt;0"),""))</f>
        <v/>
      </c>
    </row>
    <row r="53">
      <c r="D53" s="3">
        <f>IF(F53="","",MAX(0,M53-N53))</f>
        <v/>
      </c>
      <c r="H53" s="4" t="n"/>
      <c r="I53" s="3" t="n"/>
      <c r="J53" s="3" t="n"/>
      <c r="M53" s="3">
        <f>IF(F53="","",J53*K53)</f>
        <v/>
      </c>
      <c r="N53" s="3">
        <f>IF(F53="","",SUMIF(Abonos!$B$2:$B$5000,F53,Abonos!$C$2:$C$5000))</f>
        <v/>
      </c>
      <c r="O53">
        <f>IF(F53="","",MIN(K53,IF(TODAY()&lt;=H53,0,IF(L53="sí",TODAY()-H53,NETWORKDAYS.INTL(H53+1,TODAY(),11)))))</f>
        <v/>
      </c>
      <c r="P53" s="3">
        <f>IF(F53="","",O53*J53)</f>
        <v/>
      </c>
      <c r="Q53" s="3">
        <f>IF(F53="","",MAX(0,P53-N53))</f>
        <v/>
      </c>
      <c r="R53">
        <f>IF(F53="","",IF(N(J53)=0,0,ROUNDUP(Q53/J53,0)))</f>
        <v/>
      </c>
      <c r="S53" s="4">
        <f>IF(F53="","",IFERROR(1/(1/_xlfn.MAXIFS(Abonos!$A$2:$A$5000,Abonos!$B$2:$B$5000,F53)),""))</f>
        <v/>
      </c>
      <c r="T53">
        <f>IF(F53="","",IF(AND(G53='Ruta de hoy'!$B$4,N(D53)&gt;0),COUNTIFS($G$2:G53,'Ruta de hoy'!$B$4,$D$2:D53,"&gt;0"),""))</f>
        <v/>
      </c>
    </row>
    <row r="54">
      <c r="D54" s="3">
        <f>IF(F54="","",MAX(0,M54-N54))</f>
        <v/>
      </c>
      <c r="H54" s="4" t="n"/>
      <c r="I54" s="3" t="n"/>
      <c r="J54" s="3" t="n"/>
      <c r="M54" s="3">
        <f>IF(F54="","",J54*K54)</f>
        <v/>
      </c>
      <c r="N54" s="3">
        <f>IF(F54="","",SUMIF(Abonos!$B$2:$B$5000,F54,Abonos!$C$2:$C$5000))</f>
        <v/>
      </c>
      <c r="O54">
        <f>IF(F54="","",MIN(K54,IF(TODAY()&lt;=H54,0,IF(L54="sí",TODAY()-H54,NETWORKDAYS.INTL(H54+1,TODAY(),11)))))</f>
        <v/>
      </c>
      <c r="P54" s="3">
        <f>IF(F54="","",O54*J54)</f>
        <v/>
      </c>
      <c r="Q54" s="3">
        <f>IF(F54="","",MAX(0,P54-N54))</f>
        <v/>
      </c>
      <c r="R54">
        <f>IF(F54="","",IF(N(J54)=0,0,ROUNDUP(Q54/J54,0)))</f>
        <v/>
      </c>
      <c r="S54" s="4">
        <f>IF(F54="","",IFERROR(1/(1/_xlfn.MAXIFS(Abonos!$A$2:$A$5000,Abonos!$B$2:$B$5000,F54)),""))</f>
        <v/>
      </c>
      <c r="T54">
        <f>IF(F54="","",IF(AND(G54='Ruta de hoy'!$B$4,N(D54)&gt;0),COUNTIFS($G$2:G54,'Ruta de hoy'!$B$4,$D$2:D54,"&gt;0"),""))</f>
        <v/>
      </c>
    </row>
    <row r="55">
      <c r="D55" s="3">
        <f>IF(F55="","",MAX(0,M55-N55))</f>
        <v/>
      </c>
      <c r="H55" s="4" t="n"/>
      <c r="I55" s="3" t="n"/>
      <c r="J55" s="3" t="n"/>
      <c r="M55" s="3">
        <f>IF(F55="","",J55*K55)</f>
        <v/>
      </c>
      <c r="N55" s="3">
        <f>IF(F55="","",SUMIF(Abonos!$B$2:$B$5000,F55,Abonos!$C$2:$C$5000))</f>
        <v/>
      </c>
      <c r="O55">
        <f>IF(F55="","",MIN(K55,IF(TODAY()&lt;=H55,0,IF(L55="sí",TODAY()-H55,NETWORKDAYS.INTL(H55+1,TODAY(),11)))))</f>
        <v/>
      </c>
      <c r="P55" s="3">
        <f>IF(F55="","",O55*J55)</f>
        <v/>
      </c>
      <c r="Q55" s="3">
        <f>IF(F55="","",MAX(0,P55-N55))</f>
        <v/>
      </c>
      <c r="R55">
        <f>IF(F55="","",IF(N(J55)=0,0,ROUNDUP(Q55/J55,0)))</f>
        <v/>
      </c>
      <c r="S55" s="4">
        <f>IF(F55="","",IFERROR(1/(1/_xlfn.MAXIFS(Abonos!$A$2:$A$5000,Abonos!$B$2:$B$5000,F55)),""))</f>
        <v/>
      </c>
      <c r="T55">
        <f>IF(F55="","",IF(AND(G55='Ruta de hoy'!$B$4,N(D55)&gt;0),COUNTIFS($G$2:G55,'Ruta de hoy'!$B$4,$D$2:D55,"&gt;0"),""))</f>
        <v/>
      </c>
    </row>
    <row r="56">
      <c r="D56" s="3">
        <f>IF(F56="","",MAX(0,M56-N56))</f>
        <v/>
      </c>
      <c r="H56" s="4" t="n"/>
      <c r="I56" s="3" t="n"/>
      <c r="J56" s="3" t="n"/>
      <c r="M56" s="3">
        <f>IF(F56="","",J56*K56)</f>
        <v/>
      </c>
      <c r="N56" s="3">
        <f>IF(F56="","",SUMIF(Abonos!$B$2:$B$5000,F56,Abonos!$C$2:$C$5000))</f>
        <v/>
      </c>
      <c r="O56">
        <f>IF(F56="","",MIN(K56,IF(TODAY()&lt;=H56,0,IF(L56="sí",TODAY()-H56,NETWORKDAYS.INTL(H56+1,TODAY(),11)))))</f>
        <v/>
      </c>
      <c r="P56" s="3">
        <f>IF(F56="","",O56*J56)</f>
        <v/>
      </c>
      <c r="Q56" s="3">
        <f>IF(F56="","",MAX(0,P56-N56))</f>
        <v/>
      </c>
      <c r="R56">
        <f>IF(F56="","",IF(N(J56)=0,0,ROUNDUP(Q56/J56,0)))</f>
        <v/>
      </c>
      <c r="S56" s="4">
        <f>IF(F56="","",IFERROR(1/(1/_xlfn.MAXIFS(Abonos!$A$2:$A$5000,Abonos!$B$2:$B$5000,F56)),""))</f>
        <v/>
      </c>
      <c r="T56">
        <f>IF(F56="","",IF(AND(G56='Ruta de hoy'!$B$4,N(D56)&gt;0),COUNTIFS($G$2:G56,'Ruta de hoy'!$B$4,$D$2:D56,"&gt;0"),""))</f>
        <v/>
      </c>
    </row>
    <row r="57">
      <c r="D57" s="3">
        <f>IF(F57="","",MAX(0,M57-N57))</f>
        <v/>
      </c>
      <c r="H57" s="4" t="n"/>
      <c r="I57" s="3" t="n"/>
      <c r="J57" s="3" t="n"/>
      <c r="M57" s="3">
        <f>IF(F57="","",J57*K57)</f>
        <v/>
      </c>
      <c r="N57" s="3">
        <f>IF(F57="","",SUMIF(Abonos!$B$2:$B$5000,F57,Abonos!$C$2:$C$5000))</f>
        <v/>
      </c>
      <c r="O57">
        <f>IF(F57="","",MIN(K57,IF(TODAY()&lt;=H57,0,IF(L57="sí",TODAY()-H57,NETWORKDAYS.INTL(H57+1,TODAY(),11)))))</f>
        <v/>
      </c>
      <c r="P57" s="3">
        <f>IF(F57="","",O57*J57)</f>
        <v/>
      </c>
      <c r="Q57" s="3">
        <f>IF(F57="","",MAX(0,P57-N57))</f>
        <v/>
      </c>
      <c r="R57">
        <f>IF(F57="","",IF(N(J57)=0,0,ROUNDUP(Q57/J57,0)))</f>
        <v/>
      </c>
      <c r="S57" s="4">
        <f>IF(F57="","",IFERROR(1/(1/_xlfn.MAXIFS(Abonos!$A$2:$A$5000,Abonos!$B$2:$B$5000,F57)),""))</f>
        <v/>
      </c>
      <c r="T57">
        <f>IF(F57="","",IF(AND(G57='Ruta de hoy'!$B$4,N(D57)&gt;0),COUNTIFS($G$2:G57,'Ruta de hoy'!$B$4,$D$2:D57,"&gt;0"),""))</f>
        <v/>
      </c>
    </row>
    <row r="58">
      <c r="D58" s="3">
        <f>IF(F58="","",MAX(0,M58-N58))</f>
        <v/>
      </c>
      <c r="H58" s="4" t="n"/>
      <c r="I58" s="3" t="n"/>
      <c r="J58" s="3" t="n"/>
      <c r="M58" s="3">
        <f>IF(F58="","",J58*K58)</f>
        <v/>
      </c>
      <c r="N58" s="3">
        <f>IF(F58="","",SUMIF(Abonos!$B$2:$B$5000,F58,Abonos!$C$2:$C$5000))</f>
        <v/>
      </c>
      <c r="O58">
        <f>IF(F58="","",MIN(K58,IF(TODAY()&lt;=H58,0,IF(L58="sí",TODAY()-H58,NETWORKDAYS.INTL(H58+1,TODAY(),11)))))</f>
        <v/>
      </c>
      <c r="P58" s="3">
        <f>IF(F58="","",O58*J58)</f>
        <v/>
      </c>
      <c r="Q58" s="3">
        <f>IF(F58="","",MAX(0,P58-N58))</f>
        <v/>
      </c>
      <c r="R58">
        <f>IF(F58="","",IF(N(J58)=0,0,ROUNDUP(Q58/J58,0)))</f>
        <v/>
      </c>
      <c r="S58" s="4">
        <f>IF(F58="","",IFERROR(1/(1/_xlfn.MAXIFS(Abonos!$A$2:$A$5000,Abonos!$B$2:$B$5000,F58)),""))</f>
        <v/>
      </c>
      <c r="T58">
        <f>IF(F58="","",IF(AND(G58='Ruta de hoy'!$B$4,N(D58)&gt;0),COUNTIFS($G$2:G58,'Ruta de hoy'!$B$4,$D$2:D58,"&gt;0"),""))</f>
        <v/>
      </c>
    </row>
    <row r="59">
      <c r="D59" s="3">
        <f>IF(F59="","",MAX(0,M59-N59))</f>
        <v/>
      </c>
      <c r="H59" s="4" t="n"/>
      <c r="I59" s="3" t="n"/>
      <c r="J59" s="3" t="n"/>
      <c r="M59" s="3">
        <f>IF(F59="","",J59*K59)</f>
        <v/>
      </c>
      <c r="N59" s="3">
        <f>IF(F59="","",SUMIF(Abonos!$B$2:$B$5000,F59,Abonos!$C$2:$C$5000))</f>
        <v/>
      </c>
      <c r="O59">
        <f>IF(F59="","",MIN(K59,IF(TODAY()&lt;=H59,0,IF(L59="sí",TODAY()-H59,NETWORKDAYS.INTL(H59+1,TODAY(),11)))))</f>
        <v/>
      </c>
      <c r="P59" s="3">
        <f>IF(F59="","",O59*J59)</f>
        <v/>
      </c>
      <c r="Q59" s="3">
        <f>IF(F59="","",MAX(0,P59-N59))</f>
        <v/>
      </c>
      <c r="R59">
        <f>IF(F59="","",IF(N(J59)=0,0,ROUNDUP(Q59/J59,0)))</f>
        <v/>
      </c>
      <c r="S59" s="4">
        <f>IF(F59="","",IFERROR(1/(1/_xlfn.MAXIFS(Abonos!$A$2:$A$5000,Abonos!$B$2:$B$5000,F59)),""))</f>
        <v/>
      </c>
      <c r="T59">
        <f>IF(F59="","",IF(AND(G59='Ruta de hoy'!$B$4,N(D59)&gt;0),COUNTIFS($G$2:G59,'Ruta de hoy'!$B$4,$D$2:D59,"&gt;0"),""))</f>
        <v/>
      </c>
    </row>
    <row r="60">
      <c r="D60" s="3">
        <f>IF(F60="","",MAX(0,M60-N60))</f>
        <v/>
      </c>
      <c r="H60" s="4" t="n"/>
      <c r="I60" s="3" t="n"/>
      <c r="J60" s="3" t="n"/>
      <c r="M60" s="3">
        <f>IF(F60="","",J60*K60)</f>
        <v/>
      </c>
      <c r="N60" s="3">
        <f>IF(F60="","",SUMIF(Abonos!$B$2:$B$5000,F60,Abonos!$C$2:$C$5000))</f>
        <v/>
      </c>
      <c r="O60">
        <f>IF(F60="","",MIN(K60,IF(TODAY()&lt;=H60,0,IF(L60="sí",TODAY()-H60,NETWORKDAYS.INTL(H60+1,TODAY(),11)))))</f>
        <v/>
      </c>
      <c r="P60" s="3">
        <f>IF(F60="","",O60*J60)</f>
        <v/>
      </c>
      <c r="Q60" s="3">
        <f>IF(F60="","",MAX(0,P60-N60))</f>
        <v/>
      </c>
      <c r="R60">
        <f>IF(F60="","",IF(N(J60)=0,0,ROUNDUP(Q60/J60,0)))</f>
        <v/>
      </c>
      <c r="S60" s="4">
        <f>IF(F60="","",IFERROR(1/(1/_xlfn.MAXIFS(Abonos!$A$2:$A$5000,Abonos!$B$2:$B$5000,F60)),""))</f>
        <v/>
      </c>
      <c r="T60">
        <f>IF(F60="","",IF(AND(G60='Ruta de hoy'!$B$4,N(D60)&gt;0),COUNTIFS($G$2:G60,'Ruta de hoy'!$B$4,$D$2:D60,"&gt;0"),""))</f>
        <v/>
      </c>
    </row>
    <row r="61">
      <c r="D61" s="3">
        <f>IF(F61="","",MAX(0,M61-N61))</f>
        <v/>
      </c>
      <c r="H61" s="4" t="n"/>
      <c r="I61" s="3" t="n"/>
      <c r="J61" s="3" t="n"/>
      <c r="M61" s="3">
        <f>IF(F61="","",J61*K61)</f>
        <v/>
      </c>
      <c r="N61" s="3">
        <f>IF(F61="","",SUMIF(Abonos!$B$2:$B$5000,F61,Abonos!$C$2:$C$5000))</f>
        <v/>
      </c>
      <c r="O61">
        <f>IF(F61="","",MIN(K61,IF(TODAY()&lt;=H61,0,IF(L61="sí",TODAY()-H61,NETWORKDAYS.INTL(H61+1,TODAY(),11)))))</f>
        <v/>
      </c>
      <c r="P61" s="3">
        <f>IF(F61="","",O61*J61)</f>
        <v/>
      </c>
      <c r="Q61" s="3">
        <f>IF(F61="","",MAX(0,P61-N61))</f>
        <v/>
      </c>
      <c r="R61">
        <f>IF(F61="","",IF(N(J61)=0,0,ROUNDUP(Q61/J61,0)))</f>
        <v/>
      </c>
      <c r="S61" s="4">
        <f>IF(F61="","",IFERROR(1/(1/_xlfn.MAXIFS(Abonos!$A$2:$A$5000,Abonos!$B$2:$B$5000,F61)),""))</f>
        <v/>
      </c>
      <c r="T61">
        <f>IF(F61="","",IF(AND(G61='Ruta de hoy'!$B$4,N(D61)&gt;0),COUNTIFS($G$2:G61,'Ruta de hoy'!$B$4,$D$2:D61,"&gt;0"),""))</f>
        <v/>
      </c>
    </row>
    <row r="62">
      <c r="D62" s="3">
        <f>IF(F62="","",MAX(0,M62-N62))</f>
        <v/>
      </c>
      <c r="H62" s="4" t="n"/>
      <c r="I62" s="3" t="n"/>
      <c r="J62" s="3" t="n"/>
      <c r="M62" s="3">
        <f>IF(F62="","",J62*K62)</f>
        <v/>
      </c>
      <c r="N62" s="3">
        <f>IF(F62="","",SUMIF(Abonos!$B$2:$B$5000,F62,Abonos!$C$2:$C$5000))</f>
        <v/>
      </c>
      <c r="O62">
        <f>IF(F62="","",MIN(K62,IF(TODAY()&lt;=H62,0,IF(L62="sí",TODAY()-H62,NETWORKDAYS.INTL(H62+1,TODAY(),11)))))</f>
        <v/>
      </c>
      <c r="P62" s="3">
        <f>IF(F62="","",O62*J62)</f>
        <v/>
      </c>
      <c r="Q62" s="3">
        <f>IF(F62="","",MAX(0,P62-N62))</f>
        <v/>
      </c>
      <c r="R62">
        <f>IF(F62="","",IF(N(J62)=0,0,ROUNDUP(Q62/J62,0)))</f>
        <v/>
      </c>
      <c r="S62" s="4">
        <f>IF(F62="","",IFERROR(1/(1/_xlfn.MAXIFS(Abonos!$A$2:$A$5000,Abonos!$B$2:$B$5000,F62)),""))</f>
        <v/>
      </c>
      <c r="T62">
        <f>IF(F62="","",IF(AND(G62='Ruta de hoy'!$B$4,N(D62)&gt;0),COUNTIFS($G$2:G62,'Ruta de hoy'!$B$4,$D$2:D62,"&gt;0"),""))</f>
        <v/>
      </c>
    </row>
    <row r="63">
      <c r="D63" s="3">
        <f>IF(F63="","",MAX(0,M63-N63))</f>
        <v/>
      </c>
      <c r="H63" s="4" t="n"/>
      <c r="I63" s="3" t="n"/>
      <c r="J63" s="3" t="n"/>
      <c r="M63" s="3">
        <f>IF(F63="","",J63*K63)</f>
        <v/>
      </c>
      <c r="N63" s="3">
        <f>IF(F63="","",SUMIF(Abonos!$B$2:$B$5000,F63,Abonos!$C$2:$C$5000))</f>
        <v/>
      </c>
      <c r="O63">
        <f>IF(F63="","",MIN(K63,IF(TODAY()&lt;=H63,0,IF(L63="sí",TODAY()-H63,NETWORKDAYS.INTL(H63+1,TODAY(),11)))))</f>
        <v/>
      </c>
      <c r="P63" s="3">
        <f>IF(F63="","",O63*J63)</f>
        <v/>
      </c>
      <c r="Q63" s="3">
        <f>IF(F63="","",MAX(0,P63-N63))</f>
        <v/>
      </c>
      <c r="R63">
        <f>IF(F63="","",IF(N(J63)=0,0,ROUNDUP(Q63/J63,0)))</f>
        <v/>
      </c>
      <c r="S63" s="4">
        <f>IF(F63="","",IFERROR(1/(1/_xlfn.MAXIFS(Abonos!$A$2:$A$5000,Abonos!$B$2:$B$5000,F63)),""))</f>
        <v/>
      </c>
      <c r="T63">
        <f>IF(F63="","",IF(AND(G63='Ruta de hoy'!$B$4,N(D63)&gt;0),COUNTIFS($G$2:G63,'Ruta de hoy'!$B$4,$D$2:D63,"&gt;0"),""))</f>
        <v/>
      </c>
    </row>
    <row r="64">
      <c r="D64" s="3">
        <f>IF(F64="","",MAX(0,M64-N64))</f>
        <v/>
      </c>
      <c r="H64" s="4" t="n"/>
      <c r="I64" s="3" t="n"/>
      <c r="J64" s="3" t="n"/>
      <c r="M64" s="3">
        <f>IF(F64="","",J64*K64)</f>
        <v/>
      </c>
      <c r="N64" s="3">
        <f>IF(F64="","",SUMIF(Abonos!$B$2:$B$5000,F64,Abonos!$C$2:$C$5000))</f>
        <v/>
      </c>
      <c r="O64">
        <f>IF(F64="","",MIN(K64,IF(TODAY()&lt;=H64,0,IF(L64="sí",TODAY()-H64,NETWORKDAYS.INTL(H64+1,TODAY(),11)))))</f>
        <v/>
      </c>
      <c r="P64" s="3">
        <f>IF(F64="","",O64*J64)</f>
        <v/>
      </c>
      <c r="Q64" s="3">
        <f>IF(F64="","",MAX(0,P64-N64))</f>
        <v/>
      </c>
      <c r="R64">
        <f>IF(F64="","",IF(N(J64)=0,0,ROUNDUP(Q64/J64,0)))</f>
        <v/>
      </c>
      <c r="S64" s="4">
        <f>IF(F64="","",IFERROR(1/(1/_xlfn.MAXIFS(Abonos!$A$2:$A$5000,Abonos!$B$2:$B$5000,F64)),""))</f>
        <v/>
      </c>
      <c r="T64">
        <f>IF(F64="","",IF(AND(G64='Ruta de hoy'!$B$4,N(D64)&gt;0),COUNTIFS($G$2:G64,'Ruta de hoy'!$B$4,$D$2:D64,"&gt;0"),""))</f>
        <v/>
      </c>
    </row>
    <row r="65">
      <c r="D65" s="3">
        <f>IF(F65="","",MAX(0,M65-N65))</f>
        <v/>
      </c>
      <c r="H65" s="4" t="n"/>
      <c r="I65" s="3" t="n"/>
      <c r="J65" s="3" t="n"/>
      <c r="M65" s="3">
        <f>IF(F65="","",J65*K65)</f>
        <v/>
      </c>
      <c r="N65" s="3">
        <f>IF(F65="","",SUMIF(Abonos!$B$2:$B$5000,F65,Abonos!$C$2:$C$5000))</f>
        <v/>
      </c>
      <c r="O65">
        <f>IF(F65="","",MIN(K65,IF(TODAY()&lt;=H65,0,IF(L65="sí",TODAY()-H65,NETWORKDAYS.INTL(H65+1,TODAY(),11)))))</f>
        <v/>
      </c>
      <c r="P65" s="3">
        <f>IF(F65="","",O65*J65)</f>
        <v/>
      </c>
      <c r="Q65" s="3">
        <f>IF(F65="","",MAX(0,P65-N65))</f>
        <v/>
      </c>
      <c r="R65">
        <f>IF(F65="","",IF(N(J65)=0,0,ROUNDUP(Q65/J65,0)))</f>
        <v/>
      </c>
      <c r="S65" s="4">
        <f>IF(F65="","",IFERROR(1/(1/_xlfn.MAXIFS(Abonos!$A$2:$A$5000,Abonos!$B$2:$B$5000,F65)),""))</f>
        <v/>
      </c>
      <c r="T65">
        <f>IF(F65="","",IF(AND(G65='Ruta de hoy'!$B$4,N(D65)&gt;0),COUNTIFS($G$2:G65,'Ruta de hoy'!$B$4,$D$2:D65,"&gt;0"),""))</f>
        <v/>
      </c>
    </row>
    <row r="66">
      <c r="D66" s="3">
        <f>IF(F66="","",MAX(0,M66-N66))</f>
        <v/>
      </c>
      <c r="H66" s="4" t="n"/>
      <c r="I66" s="3" t="n"/>
      <c r="J66" s="3" t="n"/>
      <c r="M66" s="3">
        <f>IF(F66="","",J66*K66)</f>
        <v/>
      </c>
      <c r="N66" s="3">
        <f>IF(F66="","",SUMIF(Abonos!$B$2:$B$5000,F66,Abonos!$C$2:$C$5000))</f>
        <v/>
      </c>
      <c r="O66">
        <f>IF(F66="","",MIN(K66,IF(TODAY()&lt;=H66,0,IF(L66="sí",TODAY()-H66,NETWORKDAYS.INTL(H66+1,TODAY(),11)))))</f>
        <v/>
      </c>
      <c r="P66" s="3">
        <f>IF(F66="","",O66*J66)</f>
        <v/>
      </c>
      <c r="Q66" s="3">
        <f>IF(F66="","",MAX(0,P66-N66))</f>
        <v/>
      </c>
      <c r="R66">
        <f>IF(F66="","",IF(N(J66)=0,0,ROUNDUP(Q66/J66,0)))</f>
        <v/>
      </c>
      <c r="S66" s="4">
        <f>IF(F66="","",IFERROR(1/(1/_xlfn.MAXIFS(Abonos!$A$2:$A$5000,Abonos!$B$2:$B$5000,F66)),""))</f>
        <v/>
      </c>
      <c r="T66">
        <f>IF(F66="","",IF(AND(G66='Ruta de hoy'!$B$4,N(D66)&gt;0),COUNTIFS($G$2:G66,'Ruta de hoy'!$B$4,$D$2:D66,"&gt;0"),""))</f>
        <v/>
      </c>
    </row>
    <row r="67">
      <c r="D67" s="3">
        <f>IF(F67="","",MAX(0,M67-N67))</f>
        <v/>
      </c>
      <c r="H67" s="4" t="n"/>
      <c r="I67" s="3" t="n"/>
      <c r="J67" s="3" t="n"/>
      <c r="M67" s="3">
        <f>IF(F67="","",J67*K67)</f>
        <v/>
      </c>
      <c r="N67" s="3">
        <f>IF(F67="","",SUMIF(Abonos!$B$2:$B$5000,F67,Abonos!$C$2:$C$5000))</f>
        <v/>
      </c>
      <c r="O67">
        <f>IF(F67="","",MIN(K67,IF(TODAY()&lt;=H67,0,IF(L67="sí",TODAY()-H67,NETWORKDAYS.INTL(H67+1,TODAY(),11)))))</f>
        <v/>
      </c>
      <c r="P67" s="3">
        <f>IF(F67="","",O67*J67)</f>
        <v/>
      </c>
      <c r="Q67" s="3">
        <f>IF(F67="","",MAX(0,P67-N67))</f>
        <v/>
      </c>
      <c r="R67">
        <f>IF(F67="","",IF(N(J67)=0,0,ROUNDUP(Q67/J67,0)))</f>
        <v/>
      </c>
      <c r="S67" s="4">
        <f>IF(F67="","",IFERROR(1/(1/_xlfn.MAXIFS(Abonos!$A$2:$A$5000,Abonos!$B$2:$B$5000,F67)),""))</f>
        <v/>
      </c>
      <c r="T67">
        <f>IF(F67="","",IF(AND(G67='Ruta de hoy'!$B$4,N(D67)&gt;0),COUNTIFS($G$2:G67,'Ruta de hoy'!$B$4,$D$2:D67,"&gt;0"),""))</f>
        <v/>
      </c>
    </row>
    <row r="68">
      <c r="D68" s="3">
        <f>IF(F68="","",MAX(0,M68-N68))</f>
        <v/>
      </c>
      <c r="H68" s="4" t="n"/>
      <c r="I68" s="3" t="n"/>
      <c r="J68" s="3" t="n"/>
      <c r="M68" s="3">
        <f>IF(F68="","",J68*K68)</f>
        <v/>
      </c>
      <c r="N68" s="3">
        <f>IF(F68="","",SUMIF(Abonos!$B$2:$B$5000,F68,Abonos!$C$2:$C$5000))</f>
        <v/>
      </c>
      <c r="O68">
        <f>IF(F68="","",MIN(K68,IF(TODAY()&lt;=H68,0,IF(L68="sí",TODAY()-H68,NETWORKDAYS.INTL(H68+1,TODAY(),11)))))</f>
        <v/>
      </c>
      <c r="P68" s="3">
        <f>IF(F68="","",O68*J68)</f>
        <v/>
      </c>
      <c r="Q68" s="3">
        <f>IF(F68="","",MAX(0,P68-N68))</f>
        <v/>
      </c>
      <c r="R68">
        <f>IF(F68="","",IF(N(J68)=0,0,ROUNDUP(Q68/J68,0)))</f>
        <v/>
      </c>
      <c r="S68" s="4">
        <f>IF(F68="","",IFERROR(1/(1/_xlfn.MAXIFS(Abonos!$A$2:$A$5000,Abonos!$B$2:$B$5000,F68)),""))</f>
        <v/>
      </c>
      <c r="T68">
        <f>IF(F68="","",IF(AND(G68='Ruta de hoy'!$B$4,N(D68)&gt;0),COUNTIFS($G$2:G68,'Ruta de hoy'!$B$4,$D$2:D68,"&gt;0"),""))</f>
        <v/>
      </c>
    </row>
    <row r="69">
      <c r="D69" s="3">
        <f>IF(F69="","",MAX(0,M69-N69))</f>
        <v/>
      </c>
      <c r="H69" s="4" t="n"/>
      <c r="I69" s="3" t="n"/>
      <c r="J69" s="3" t="n"/>
      <c r="M69" s="3">
        <f>IF(F69="","",J69*K69)</f>
        <v/>
      </c>
      <c r="N69" s="3">
        <f>IF(F69="","",SUMIF(Abonos!$B$2:$B$5000,F69,Abonos!$C$2:$C$5000))</f>
        <v/>
      </c>
      <c r="O69">
        <f>IF(F69="","",MIN(K69,IF(TODAY()&lt;=H69,0,IF(L69="sí",TODAY()-H69,NETWORKDAYS.INTL(H69+1,TODAY(),11)))))</f>
        <v/>
      </c>
      <c r="P69" s="3">
        <f>IF(F69="","",O69*J69)</f>
        <v/>
      </c>
      <c r="Q69" s="3">
        <f>IF(F69="","",MAX(0,P69-N69))</f>
        <v/>
      </c>
      <c r="R69">
        <f>IF(F69="","",IF(N(J69)=0,0,ROUNDUP(Q69/J69,0)))</f>
        <v/>
      </c>
      <c r="S69" s="4">
        <f>IF(F69="","",IFERROR(1/(1/_xlfn.MAXIFS(Abonos!$A$2:$A$5000,Abonos!$B$2:$B$5000,F69)),""))</f>
        <v/>
      </c>
      <c r="T69">
        <f>IF(F69="","",IF(AND(G69='Ruta de hoy'!$B$4,N(D69)&gt;0),COUNTIFS($G$2:G69,'Ruta de hoy'!$B$4,$D$2:D69,"&gt;0"),""))</f>
        <v/>
      </c>
    </row>
    <row r="70">
      <c r="D70" s="3">
        <f>IF(F70="","",MAX(0,M70-N70))</f>
        <v/>
      </c>
      <c r="H70" s="4" t="n"/>
      <c r="I70" s="3" t="n"/>
      <c r="J70" s="3" t="n"/>
      <c r="M70" s="3">
        <f>IF(F70="","",J70*K70)</f>
        <v/>
      </c>
      <c r="N70" s="3">
        <f>IF(F70="","",SUMIF(Abonos!$B$2:$B$5000,F70,Abonos!$C$2:$C$5000))</f>
        <v/>
      </c>
      <c r="O70">
        <f>IF(F70="","",MIN(K70,IF(TODAY()&lt;=H70,0,IF(L70="sí",TODAY()-H70,NETWORKDAYS.INTL(H70+1,TODAY(),11)))))</f>
        <v/>
      </c>
      <c r="P70" s="3">
        <f>IF(F70="","",O70*J70)</f>
        <v/>
      </c>
      <c r="Q70" s="3">
        <f>IF(F70="","",MAX(0,P70-N70))</f>
        <v/>
      </c>
      <c r="R70">
        <f>IF(F70="","",IF(N(J70)=0,0,ROUNDUP(Q70/J70,0)))</f>
        <v/>
      </c>
      <c r="S70" s="4">
        <f>IF(F70="","",IFERROR(1/(1/_xlfn.MAXIFS(Abonos!$A$2:$A$5000,Abonos!$B$2:$B$5000,F70)),""))</f>
        <v/>
      </c>
      <c r="T70">
        <f>IF(F70="","",IF(AND(G70='Ruta de hoy'!$B$4,N(D70)&gt;0),COUNTIFS($G$2:G70,'Ruta de hoy'!$B$4,$D$2:D70,"&gt;0"),""))</f>
        <v/>
      </c>
    </row>
    <row r="71">
      <c r="D71" s="3">
        <f>IF(F71="","",MAX(0,M71-N71))</f>
        <v/>
      </c>
      <c r="H71" s="4" t="n"/>
      <c r="I71" s="3" t="n"/>
      <c r="J71" s="3" t="n"/>
      <c r="M71" s="3">
        <f>IF(F71="","",J71*K71)</f>
        <v/>
      </c>
      <c r="N71" s="3">
        <f>IF(F71="","",SUMIF(Abonos!$B$2:$B$5000,F71,Abonos!$C$2:$C$5000))</f>
        <v/>
      </c>
      <c r="O71">
        <f>IF(F71="","",MIN(K71,IF(TODAY()&lt;=H71,0,IF(L71="sí",TODAY()-H71,NETWORKDAYS.INTL(H71+1,TODAY(),11)))))</f>
        <v/>
      </c>
      <c r="P71" s="3">
        <f>IF(F71="","",O71*J71)</f>
        <v/>
      </c>
      <c r="Q71" s="3">
        <f>IF(F71="","",MAX(0,P71-N71))</f>
        <v/>
      </c>
      <c r="R71">
        <f>IF(F71="","",IF(N(J71)=0,0,ROUNDUP(Q71/J71,0)))</f>
        <v/>
      </c>
      <c r="S71" s="4">
        <f>IF(F71="","",IFERROR(1/(1/_xlfn.MAXIFS(Abonos!$A$2:$A$5000,Abonos!$B$2:$B$5000,F71)),""))</f>
        <v/>
      </c>
      <c r="T71">
        <f>IF(F71="","",IF(AND(G71='Ruta de hoy'!$B$4,N(D71)&gt;0),COUNTIFS($G$2:G71,'Ruta de hoy'!$B$4,$D$2:D71,"&gt;0"),""))</f>
        <v/>
      </c>
    </row>
    <row r="72">
      <c r="D72" s="3">
        <f>IF(F72="","",MAX(0,M72-N72))</f>
        <v/>
      </c>
      <c r="H72" s="4" t="n"/>
      <c r="I72" s="3" t="n"/>
      <c r="J72" s="3" t="n"/>
      <c r="M72" s="3">
        <f>IF(F72="","",J72*K72)</f>
        <v/>
      </c>
      <c r="N72" s="3">
        <f>IF(F72="","",SUMIF(Abonos!$B$2:$B$5000,F72,Abonos!$C$2:$C$5000))</f>
        <v/>
      </c>
      <c r="O72">
        <f>IF(F72="","",MIN(K72,IF(TODAY()&lt;=H72,0,IF(L72="sí",TODAY()-H72,NETWORKDAYS.INTL(H72+1,TODAY(),11)))))</f>
        <v/>
      </c>
      <c r="P72" s="3">
        <f>IF(F72="","",O72*J72)</f>
        <v/>
      </c>
      <c r="Q72" s="3">
        <f>IF(F72="","",MAX(0,P72-N72))</f>
        <v/>
      </c>
      <c r="R72">
        <f>IF(F72="","",IF(N(J72)=0,0,ROUNDUP(Q72/J72,0)))</f>
        <v/>
      </c>
      <c r="S72" s="4">
        <f>IF(F72="","",IFERROR(1/(1/_xlfn.MAXIFS(Abonos!$A$2:$A$5000,Abonos!$B$2:$B$5000,F72)),""))</f>
        <v/>
      </c>
      <c r="T72">
        <f>IF(F72="","",IF(AND(G72='Ruta de hoy'!$B$4,N(D72)&gt;0),COUNTIFS($G$2:G72,'Ruta de hoy'!$B$4,$D$2:D72,"&gt;0"),""))</f>
        <v/>
      </c>
    </row>
    <row r="73">
      <c r="D73" s="3">
        <f>IF(F73="","",MAX(0,M73-N73))</f>
        <v/>
      </c>
      <c r="H73" s="4" t="n"/>
      <c r="I73" s="3" t="n"/>
      <c r="J73" s="3" t="n"/>
      <c r="M73" s="3">
        <f>IF(F73="","",J73*K73)</f>
        <v/>
      </c>
      <c r="N73" s="3">
        <f>IF(F73="","",SUMIF(Abonos!$B$2:$B$5000,F73,Abonos!$C$2:$C$5000))</f>
        <v/>
      </c>
      <c r="O73">
        <f>IF(F73="","",MIN(K73,IF(TODAY()&lt;=H73,0,IF(L73="sí",TODAY()-H73,NETWORKDAYS.INTL(H73+1,TODAY(),11)))))</f>
        <v/>
      </c>
      <c r="P73" s="3">
        <f>IF(F73="","",O73*J73)</f>
        <v/>
      </c>
      <c r="Q73" s="3">
        <f>IF(F73="","",MAX(0,P73-N73))</f>
        <v/>
      </c>
      <c r="R73">
        <f>IF(F73="","",IF(N(J73)=0,0,ROUNDUP(Q73/J73,0)))</f>
        <v/>
      </c>
      <c r="S73" s="4">
        <f>IF(F73="","",IFERROR(1/(1/_xlfn.MAXIFS(Abonos!$A$2:$A$5000,Abonos!$B$2:$B$5000,F73)),""))</f>
        <v/>
      </c>
      <c r="T73">
        <f>IF(F73="","",IF(AND(G73='Ruta de hoy'!$B$4,N(D73)&gt;0),COUNTIFS($G$2:G73,'Ruta de hoy'!$B$4,$D$2:D73,"&gt;0"),""))</f>
        <v/>
      </c>
    </row>
    <row r="74">
      <c r="D74" s="3">
        <f>IF(F74="","",MAX(0,M74-N74))</f>
        <v/>
      </c>
      <c r="H74" s="4" t="n"/>
      <c r="I74" s="3" t="n"/>
      <c r="J74" s="3" t="n"/>
      <c r="M74" s="3">
        <f>IF(F74="","",J74*K74)</f>
        <v/>
      </c>
      <c r="N74" s="3">
        <f>IF(F74="","",SUMIF(Abonos!$B$2:$B$5000,F74,Abonos!$C$2:$C$5000))</f>
        <v/>
      </c>
      <c r="O74">
        <f>IF(F74="","",MIN(K74,IF(TODAY()&lt;=H74,0,IF(L74="sí",TODAY()-H74,NETWORKDAYS.INTL(H74+1,TODAY(),11)))))</f>
        <v/>
      </c>
      <c r="P74" s="3">
        <f>IF(F74="","",O74*J74)</f>
        <v/>
      </c>
      <c r="Q74" s="3">
        <f>IF(F74="","",MAX(0,P74-N74))</f>
        <v/>
      </c>
      <c r="R74">
        <f>IF(F74="","",IF(N(J74)=0,0,ROUNDUP(Q74/J74,0)))</f>
        <v/>
      </c>
      <c r="S74" s="4">
        <f>IF(F74="","",IFERROR(1/(1/_xlfn.MAXIFS(Abonos!$A$2:$A$5000,Abonos!$B$2:$B$5000,F74)),""))</f>
        <v/>
      </c>
      <c r="T74">
        <f>IF(F74="","",IF(AND(G74='Ruta de hoy'!$B$4,N(D74)&gt;0),COUNTIFS($G$2:G74,'Ruta de hoy'!$B$4,$D$2:D74,"&gt;0"),""))</f>
        <v/>
      </c>
    </row>
    <row r="75">
      <c r="D75" s="3">
        <f>IF(F75="","",MAX(0,M75-N75))</f>
        <v/>
      </c>
      <c r="H75" s="4" t="n"/>
      <c r="I75" s="3" t="n"/>
      <c r="J75" s="3" t="n"/>
      <c r="M75" s="3">
        <f>IF(F75="","",J75*K75)</f>
        <v/>
      </c>
      <c r="N75" s="3">
        <f>IF(F75="","",SUMIF(Abonos!$B$2:$B$5000,F75,Abonos!$C$2:$C$5000))</f>
        <v/>
      </c>
      <c r="O75">
        <f>IF(F75="","",MIN(K75,IF(TODAY()&lt;=H75,0,IF(L75="sí",TODAY()-H75,NETWORKDAYS.INTL(H75+1,TODAY(),11)))))</f>
        <v/>
      </c>
      <c r="P75" s="3">
        <f>IF(F75="","",O75*J75)</f>
        <v/>
      </c>
      <c r="Q75" s="3">
        <f>IF(F75="","",MAX(0,P75-N75))</f>
        <v/>
      </c>
      <c r="R75">
        <f>IF(F75="","",IF(N(J75)=0,0,ROUNDUP(Q75/J75,0)))</f>
        <v/>
      </c>
      <c r="S75" s="4">
        <f>IF(F75="","",IFERROR(1/(1/_xlfn.MAXIFS(Abonos!$A$2:$A$5000,Abonos!$B$2:$B$5000,F75)),""))</f>
        <v/>
      </c>
      <c r="T75">
        <f>IF(F75="","",IF(AND(G75='Ruta de hoy'!$B$4,N(D75)&gt;0),COUNTIFS($G$2:G75,'Ruta de hoy'!$B$4,$D$2:D75,"&gt;0"),""))</f>
        <v/>
      </c>
    </row>
    <row r="76">
      <c r="D76" s="3">
        <f>IF(F76="","",MAX(0,M76-N76))</f>
        <v/>
      </c>
      <c r="H76" s="4" t="n"/>
      <c r="I76" s="3" t="n"/>
      <c r="J76" s="3" t="n"/>
      <c r="M76" s="3">
        <f>IF(F76="","",J76*K76)</f>
        <v/>
      </c>
      <c r="N76" s="3">
        <f>IF(F76="","",SUMIF(Abonos!$B$2:$B$5000,F76,Abonos!$C$2:$C$5000))</f>
        <v/>
      </c>
      <c r="O76">
        <f>IF(F76="","",MIN(K76,IF(TODAY()&lt;=H76,0,IF(L76="sí",TODAY()-H76,NETWORKDAYS.INTL(H76+1,TODAY(),11)))))</f>
        <v/>
      </c>
      <c r="P76" s="3">
        <f>IF(F76="","",O76*J76)</f>
        <v/>
      </c>
      <c r="Q76" s="3">
        <f>IF(F76="","",MAX(0,P76-N76))</f>
        <v/>
      </c>
      <c r="R76">
        <f>IF(F76="","",IF(N(J76)=0,0,ROUNDUP(Q76/J76,0)))</f>
        <v/>
      </c>
      <c r="S76" s="4">
        <f>IF(F76="","",IFERROR(1/(1/_xlfn.MAXIFS(Abonos!$A$2:$A$5000,Abonos!$B$2:$B$5000,F76)),""))</f>
        <v/>
      </c>
      <c r="T76">
        <f>IF(F76="","",IF(AND(G76='Ruta de hoy'!$B$4,N(D76)&gt;0),COUNTIFS($G$2:G76,'Ruta de hoy'!$B$4,$D$2:D76,"&gt;0"),""))</f>
        <v/>
      </c>
    </row>
    <row r="77">
      <c r="D77" s="3">
        <f>IF(F77="","",MAX(0,M77-N77))</f>
        <v/>
      </c>
      <c r="H77" s="4" t="n"/>
      <c r="I77" s="3" t="n"/>
      <c r="J77" s="3" t="n"/>
      <c r="M77" s="3">
        <f>IF(F77="","",J77*K77)</f>
        <v/>
      </c>
      <c r="N77" s="3">
        <f>IF(F77="","",SUMIF(Abonos!$B$2:$B$5000,F77,Abonos!$C$2:$C$5000))</f>
        <v/>
      </c>
      <c r="O77">
        <f>IF(F77="","",MIN(K77,IF(TODAY()&lt;=H77,0,IF(L77="sí",TODAY()-H77,NETWORKDAYS.INTL(H77+1,TODAY(),11)))))</f>
        <v/>
      </c>
      <c r="P77" s="3">
        <f>IF(F77="","",O77*J77)</f>
        <v/>
      </c>
      <c r="Q77" s="3">
        <f>IF(F77="","",MAX(0,P77-N77))</f>
        <v/>
      </c>
      <c r="R77">
        <f>IF(F77="","",IF(N(J77)=0,0,ROUNDUP(Q77/J77,0)))</f>
        <v/>
      </c>
      <c r="S77" s="4">
        <f>IF(F77="","",IFERROR(1/(1/_xlfn.MAXIFS(Abonos!$A$2:$A$5000,Abonos!$B$2:$B$5000,F77)),""))</f>
        <v/>
      </c>
      <c r="T77">
        <f>IF(F77="","",IF(AND(G77='Ruta de hoy'!$B$4,N(D77)&gt;0),COUNTIFS($G$2:G77,'Ruta de hoy'!$B$4,$D$2:D77,"&gt;0"),""))</f>
        <v/>
      </c>
    </row>
    <row r="78">
      <c r="D78" s="3">
        <f>IF(F78="","",MAX(0,M78-N78))</f>
        <v/>
      </c>
      <c r="H78" s="4" t="n"/>
      <c r="I78" s="3" t="n"/>
      <c r="J78" s="3" t="n"/>
      <c r="M78" s="3">
        <f>IF(F78="","",J78*K78)</f>
        <v/>
      </c>
      <c r="N78" s="3">
        <f>IF(F78="","",SUMIF(Abonos!$B$2:$B$5000,F78,Abonos!$C$2:$C$5000))</f>
        <v/>
      </c>
      <c r="O78">
        <f>IF(F78="","",MIN(K78,IF(TODAY()&lt;=H78,0,IF(L78="sí",TODAY()-H78,NETWORKDAYS.INTL(H78+1,TODAY(),11)))))</f>
        <v/>
      </c>
      <c r="P78" s="3">
        <f>IF(F78="","",O78*J78)</f>
        <v/>
      </c>
      <c r="Q78" s="3">
        <f>IF(F78="","",MAX(0,P78-N78))</f>
        <v/>
      </c>
      <c r="R78">
        <f>IF(F78="","",IF(N(J78)=0,0,ROUNDUP(Q78/J78,0)))</f>
        <v/>
      </c>
      <c r="S78" s="4">
        <f>IF(F78="","",IFERROR(1/(1/_xlfn.MAXIFS(Abonos!$A$2:$A$5000,Abonos!$B$2:$B$5000,F78)),""))</f>
        <v/>
      </c>
      <c r="T78">
        <f>IF(F78="","",IF(AND(G78='Ruta de hoy'!$B$4,N(D78)&gt;0),COUNTIFS($G$2:G78,'Ruta de hoy'!$B$4,$D$2:D78,"&gt;0"),""))</f>
        <v/>
      </c>
    </row>
    <row r="79">
      <c r="D79" s="3">
        <f>IF(F79="","",MAX(0,M79-N79))</f>
        <v/>
      </c>
      <c r="H79" s="4" t="n"/>
      <c r="I79" s="3" t="n"/>
      <c r="J79" s="3" t="n"/>
      <c r="M79" s="3">
        <f>IF(F79="","",J79*K79)</f>
        <v/>
      </c>
      <c r="N79" s="3">
        <f>IF(F79="","",SUMIF(Abonos!$B$2:$B$5000,F79,Abonos!$C$2:$C$5000))</f>
        <v/>
      </c>
      <c r="O79">
        <f>IF(F79="","",MIN(K79,IF(TODAY()&lt;=H79,0,IF(L79="sí",TODAY()-H79,NETWORKDAYS.INTL(H79+1,TODAY(),11)))))</f>
        <v/>
      </c>
      <c r="P79" s="3">
        <f>IF(F79="","",O79*J79)</f>
        <v/>
      </c>
      <c r="Q79" s="3">
        <f>IF(F79="","",MAX(0,P79-N79))</f>
        <v/>
      </c>
      <c r="R79">
        <f>IF(F79="","",IF(N(J79)=0,0,ROUNDUP(Q79/J79,0)))</f>
        <v/>
      </c>
      <c r="S79" s="4">
        <f>IF(F79="","",IFERROR(1/(1/_xlfn.MAXIFS(Abonos!$A$2:$A$5000,Abonos!$B$2:$B$5000,F79)),""))</f>
        <v/>
      </c>
      <c r="T79">
        <f>IF(F79="","",IF(AND(G79='Ruta de hoy'!$B$4,N(D79)&gt;0),COUNTIFS($G$2:G79,'Ruta de hoy'!$B$4,$D$2:D79,"&gt;0"),""))</f>
        <v/>
      </c>
    </row>
    <row r="80">
      <c r="D80" s="3">
        <f>IF(F80="","",MAX(0,M80-N80))</f>
        <v/>
      </c>
      <c r="H80" s="4" t="n"/>
      <c r="I80" s="3" t="n"/>
      <c r="J80" s="3" t="n"/>
      <c r="M80" s="3">
        <f>IF(F80="","",J80*K80)</f>
        <v/>
      </c>
      <c r="N80" s="3">
        <f>IF(F80="","",SUMIF(Abonos!$B$2:$B$5000,F80,Abonos!$C$2:$C$5000))</f>
        <v/>
      </c>
      <c r="O80">
        <f>IF(F80="","",MIN(K80,IF(TODAY()&lt;=H80,0,IF(L80="sí",TODAY()-H80,NETWORKDAYS.INTL(H80+1,TODAY(),11)))))</f>
        <v/>
      </c>
      <c r="P80" s="3">
        <f>IF(F80="","",O80*J80)</f>
        <v/>
      </c>
      <c r="Q80" s="3">
        <f>IF(F80="","",MAX(0,P80-N80))</f>
        <v/>
      </c>
      <c r="R80">
        <f>IF(F80="","",IF(N(J80)=0,0,ROUNDUP(Q80/J80,0)))</f>
        <v/>
      </c>
      <c r="S80" s="4">
        <f>IF(F80="","",IFERROR(1/(1/_xlfn.MAXIFS(Abonos!$A$2:$A$5000,Abonos!$B$2:$B$5000,F80)),""))</f>
        <v/>
      </c>
      <c r="T80">
        <f>IF(F80="","",IF(AND(G80='Ruta de hoy'!$B$4,N(D80)&gt;0),COUNTIFS($G$2:G80,'Ruta de hoy'!$B$4,$D$2:D80,"&gt;0"),""))</f>
        <v/>
      </c>
    </row>
    <row r="81">
      <c r="D81" s="3">
        <f>IF(F81="","",MAX(0,M81-N81))</f>
        <v/>
      </c>
      <c r="H81" s="4" t="n"/>
      <c r="I81" s="3" t="n"/>
      <c r="J81" s="3" t="n"/>
      <c r="M81" s="3">
        <f>IF(F81="","",J81*K81)</f>
        <v/>
      </c>
      <c r="N81" s="3">
        <f>IF(F81="","",SUMIF(Abonos!$B$2:$B$5000,F81,Abonos!$C$2:$C$5000))</f>
        <v/>
      </c>
      <c r="O81">
        <f>IF(F81="","",MIN(K81,IF(TODAY()&lt;=H81,0,IF(L81="sí",TODAY()-H81,NETWORKDAYS.INTL(H81+1,TODAY(),11)))))</f>
        <v/>
      </c>
      <c r="P81" s="3">
        <f>IF(F81="","",O81*J81)</f>
        <v/>
      </c>
      <c r="Q81" s="3">
        <f>IF(F81="","",MAX(0,P81-N81))</f>
        <v/>
      </c>
      <c r="R81">
        <f>IF(F81="","",IF(N(J81)=0,0,ROUNDUP(Q81/J81,0)))</f>
        <v/>
      </c>
      <c r="S81" s="4">
        <f>IF(F81="","",IFERROR(1/(1/_xlfn.MAXIFS(Abonos!$A$2:$A$5000,Abonos!$B$2:$B$5000,F81)),""))</f>
        <v/>
      </c>
      <c r="T81">
        <f>IF(F81="","",IF(AND(G81='Ruta de hoy'!$B$4,N(D81)&gt;0),COUNTIFS($G$2:G81,'Ruta de hoy'!$B$4,$D$2:D81,"&gt;0"),""))</f>
        <v/>
      </c>
    </row>
    <row r="82">
      <c r="D82" s="3">
        <f>IF(F82="","",MAX(0,M82-N82))</f>
        <v/>
      </c>
      <c r="H82" s="4" t="n"/>
      <c r="I82" s="3" t="n"/>
      <c r="J82" s="3" t="n"/>
      <c r="M82" s="3">
        <f>IF(F82="","",J82*K82)</f>
        <v/>
      </c>
      <c r="N82" s="3">
        <f>IF(F82="","",SUMIF(Abonos!$B$2:$B$5000,F82,Abonos!$C$2:$C$5000))</f>
        <v/>
      </c>
      <c r="O82">
        <f>IF(F82="","",MIN(K82,IF(TODAY()&lt;=H82,0,IF(L82="sí",TODAY()-H82,NETWORKDAYS.INTL(H82+1,TODAY(),11)))))</f>
        <v/>
      </c>
      <c r="P82" s="3">
        <f>IF(F82="","",O82*J82)</f>
        <v/>
      </c>
      <c r="Q82" s="3">
        <f>IF(F82="","",MAX(0,P82-N82))</f>
        <v/>
      </c>
      <c r="R82">
        <f>IF(F82="","",IF(N(J82)=0,0,ROUNDUP(Q82/J82,0)))</f>
        <v/>
      </c>
      <c r="S82" s="4">
        <f>IF(F82="","",IFERROR(1/(1/_xlfn.MAXIFS(Abonos!$A$2:$A$5000,Abonos!$B$2:$B$5000,F82)),""))</f>
        <v/>
      </c>
      <c r="T82">
        <f>IF(F82="","",IF(AND(G82='Ruta de hoy'!$B$4,N(D82)&gt;0),COUNTIFS($G$2:G82,'Ruta de hoy'!$B$4,$D$2:D82,"&gt;0"),""))</f>
        <v/>
      </c>
    </row>
    <row r="83">
      <c r="D83" s="3">
        <f>IF(F83="","",MAX(0,M83-N83))</f>
        <v/>
      </c>
      <c r="H83" s="4" t="n"/>
      <c r="I83" s="3" t="n"/>
      <c r="J83" s="3" t="n"/>
      <c r="M83" s="3">
        <f>IF(F83="","",J83*K83)</f>
        <v/>
      </c>
      <c r="N83" s="3">
        <f>IF(F83="","",SUMIF(Abonos!$B$2:$B$5000,F83,Abonos!$C$2:$C$5000))</f>
        <v/>
      </c>
      <c r="O83">
        <f>IF(F83="","",MIN(K83,IF(TODAY()&lt;=H83,0,IF(L83="sí",TODAY()-H83,NETWORKDAYS.INTL(H83+1,TODAY(),11)))))</f>
        <v/>
      </c>
      <c r="P83" s="3">
        <f>IF(F83="","",O83*J83)</f>
        <v/>
      </c>
      <c r="Q83" s="3">
        <f>IF(F83="","",MAX(0,P83-N83))</f>
        <v/>
      </c>
      <c r="R83">
        <f>IF(F83="","",IF(N(J83)=0,0,ROUNDUP(Q83/J83,0)))</f>
        <v/>
      </c>
      <c r="S83" s="4">
        <f>IF(F83="","",IFERROR(1/(1/_xlfn.MAXIFS(Abonos!$A$2:$A$5000,Abonos!$B$2:$B$5000,F83)),""))</f>
        <v/>
      </c>
      <c r="T83">
        <f>IF(F83="","",IF(AND(G83='Ruta de hoy'!$B$4,N(D83)&gt;0),COUNTIFS($G$2:G83,'Ruta de hoy'!$B$4,$D$2:D83,"&gt;0"),""))</f>
        <v/>
      </c>
    </row>
    <row r="84">
      <c r="D84" s="3">
        <f>IF(F84="","",MAX(0,M84-N84))</f>
        <v/>
      </c>
      <c r="H84" s="4" t="n"/>
      <c r="I84" s="3" t="n"/>
      <c r="J84" s="3" t="n"/>
      <c r="M84" s="3">
        <f>IF(F84="","",J84*K84)</f>
        <v/>
      </c>
      <c r="N84" s="3">
        <f>IF(F84="","",SUMIF(Abonos!$B$2:$B$5000,F84,Abonos!$C$2:$C$5000))</f>
        <v/>
      </c>
      <c r="O84">
        <f>IF(F84="","",MIN(K84,IF(TODAY()&lt;=H84,0,IF(L84="sí",TODAY()-H84,NETWORKDAYS.INTL(H84+1,TODAY(),11)))))</f>
        <v/>
      </c>
      <c r="P84" s="3">
        <f>IF(F84="","",O84*J84)</f>
        <v/>
      </c>
      <c r="Q84" s="3">
        <f>IF(F84="","",MAX(0,P84-N84))</f>
        <v/>
      </c>
      <c r="R84">
        <f>IF(F84="","",IF(N(J84)=0,0,ROUNDUP(Q84/J84,0)))</f>
        <v/>
      </c>
      <c r="S84" s="4">
        <f>IF(F84="","",IFERROR(1/(1/_xlfn.MAXIFS(Abonos!$A$2:$A$5000,Abonos!$B$2:$B$5000,F84)),""))</f>
        <v/>
      </c>
      <c r="T84">
        <f>IF(F84="","",IF(AND(G84='Ruta de hoy'!$B$4,N(D84)&gt;0),COUNTIFS($G$2:G84,'Ruta de hoy'!$B$4,$D$2:D84,"&gt;0"),""))</f>
        <v/>
      </c>
    </row>
    <row r="85">
      <c r="D85" s="3">
        <f>IF(F85="","",MAX(0,M85-N85))</f>
        <v/>
      </c>
      <c r="H85" s="4" t="n"/>
      <c r="I85" s="3" t="n"/>
      <c r="J85" s="3" t="n"/>
      <c r="M85" s="3">
        <f>IF(F85="","",J85*K85)</f>
        <v/>
      </c>
      <c r="N85" s="3">
        <f>IF(F85="","",SUMIF(Abonos!$B$2:$B$5000,F85,Abonos!$C$2:$C$5000))</f>
        <v/>
      </c>
      <c r="O85">
        <f>IF(F85="","",MIN(K85,IF(TODAY()&lt;=H85,0,IF(L85="sí",TODAY()-H85,NETWORKDAYS.INTL(H85+1,TODAY(),11)))))</f>
        <v/>
      </c>
      <c r="P85" s="3">
        <f>IF(F85="","",O85*J85)</f>
        <v/>
      </c>
      <c r="Q85" s="3">
        <f>IF(F85="","",MAX(0,P85-N85))</f>
        <v/>
      </c>
      <c r="R85">
        <f>IF(F85="","",IF(N(J85)=0,0,ROUNDUP(Q85/J85,0)))</f>
        <v/>
      </c>
      <c r="S85" s="4">
        <f>IF(F85="","",IFERROR(1/(1/_xlfn.MAXIFS(Abonos!$A$2:$A$5000,Abonos!$B$2:$B$5000,F85)),""))</f>
        <v/>
      </c>
      <c r="T85">
        <f>IF(F85="","",IF(AND(G85='Ruta de hoy'!$B$4,N(D85)&gt;0),COUNTIFS($G$2:G85,'Ruta de hoy'!$B$4,$D$2:D85,"&gt;0"),""))</f>
        <v/>
      </c>
    </row>
    <row r="86">
      <c r="D86" s="3">
        <f>IF(F86="","",MAX(0,M86-N86))</f>
        <v/>
      </c>
      <c r="H86" s="4" t="n"/>
      <c r="I86" s="3" t="n"/>
      <c r="J86" s="3" t="n"/>
      <c r="M86" s="3">
        <f>IF(F86="","",J86*K86)</f>
        <v/>
      </c>
      <c r="N86" s="3">
        <f>IF(F86="","",SUMIF(Abonos!$B$2:$B$5000,F86,Abonos!$C$2:$C$5000))</f>
        <v/>
      </c>
      <c r="O86">
        <f>IF(F86="","",MIN(K86,IF(TODAY()&lt;=H86,0,IF(L86="sí",TODAY()-H86,NETWORKDAYS.INTL(H86+1,TODAY(),11)))))</f>
        <v/>
      </c>
      <c r="P86" s="3">
        <f>IF(F86="","",O86*J86)</f>
        <v/>
      </c>
      <c r="Q86" s="3">
        <f>IF(F86="","",MAX(0,P86-N86))</f>
        <v/>
      </c>
      <c r="R86">
        <f>IF(F86="","",IF(N(J86)=0,0,ROUNDUP(Q86/J86,0)))</f>
        <v/>
      </c>
      <c r="S86" s="4">
        <f>IF(F86="","",IFERROR(1/(1/_xlfn.MAXIFS(Abonos!$A$2:$A$5000,Abonos!$B$2:$B$5000,F86)),""))</f>
        <v/>
      </c>
      <c r="T86">
        <f>IF(F86="","",IF(AND(G86='Ruta de hoy'!$B$4,N(D86)&gt;0),COUNTIFS($G$2:G86,'Ruta de hoy'!$B$4,$D$2:D86,"&gt;0"),""))</f>
        <v/>
      </c>
    </row>
    <row r="87">
      <c r="D87" s="3">
        <f>IF(F87="","",MAX(0,M87-N87))</f>
        <v/>
      </c>
      <c r="H87" s="4" t="n"/>
      <c r="I87" s="3" t="n"/>
      <c r="J87" s="3" t="n"/>
      <c r="M87" s="3">
        <f>IF(F87="","",J87*K87)</f>
        <v/>
      </c>
      <c r="N87" s="3">
        <f>IF(F87="","",SUMIF(Abonos!$B$2:$B$5000,F87,Abonos!$C$2:$C$5000))</f>
        <v/>
      </c>
      <c r="O87">
        <f>IF(F87="","",MIN(K87,IF(TODAY()&lt;=H87,0,IF(L87="sí",TODAY()-H87,NETWORKDAYS.INTL(H87+1,TODAY(),11)))))</f>
        <v/>
      </c>
      <c r="P87" s="3">
        <f>IF(F87="","",O87*J87)</f>
        <v/>
      </c>
      <c r="Q87" s="3">
        <f>IF(F87="","",MAX(0,P87-N87))</f>
        <v/>
      </c>
      <c r="R87">
        <f>IF(F87="","",IF(N(J87)=0,0,ROUNDUP(Q87/J87,0)))</f>
        <v/>
      </c>
      <c r="S87" s="4">
        <f>IF(F87="","",IFERROR(1/(1/_xlfn.MAXIFS(Abonos!$A$2:$A$5000,Abonos!$B$2:$B$5000,F87)),""))</f>
        <v/>
      </c>
      <c r="T87">
        <f>IF(F87="","",IF(AND(G87='Ruta de hoy'!$B$4,N(D87)&gt;0),COUNTIFS($G$2:G87,'Ruta de hoy'!$B$4,$D$2:D87,"&gt;0"),""))</f>
        <v/>
      </c>
    </row>
    <row r="88">
      <c r="D88" s="3">
        <f>IF(F88="","",MAX(0,M88-N88))</f>
        <v/>
      </c>
      <c r="H88" s="4" t="n"/>
      <c r="I88" s="3" t="n"/>
      <c r="J88" s="3" t="n"/>
      <c r="M88" s="3">
        <f>IF(F88="","",J88*K88)</f>
        <v/>
      </c>
      <c r="N88" s="3">
        <f>IF(F88="","",SUMIF(Abonos!$B$2:$B$5000,F88,Abonos!$C$2:$C$5000))</f>
        <v/>
      </c>
      <c r="O88">
        <f>IF(F88="","",MIN(K88,IF(TODAY()&lt;=H88,0,IF(L88="sí",TODAY()-H88,NETWORKDAYS.INTL(H88+1,TODAY(),11)))))</f>
        <v/>
      </c>
      <c r="P88" s="3">
        <f>IF(F88="","",O88*J88)</f>
        <v/>
      </c>
      <c r="Q88" s="3">
        <f>IF(F88="","",MAX(0,P88-N88))</f>
        <v/>
      </c>
      <c r="R88">
        <f>IF(F88="","",IF(N(J88)=0,0,ROUNDUP(Q88/J88,0)))</f>
        <v/>
      </c>
      <c r="S88" s="4">
        <f>IF(F88="","",IFERROR(1/(1/_xlfn.MAXIFS(Abonos!$A$2:$A$5000,Abonos!$B$2:$B$5000,F88)),""))</f>
        <v/>
      </c>
      <c r="T88">
        <f>IF(F88="","",IF(AND(G88='Ruta de hoy'!$B$4,N(D88)&gt;0),COUNTIFS($G$2:G88,'Ruta de hoy'!$B$4,$D$2:D88,"&gt;0"),""))</f>
        <v/>
      </c>
    </row>
    <row r="89">
      <c r="D89" s="3">
        <f>IF(F89="","",MAX(0,M89-N89))</f>
        <v/>
      </c>
      <c r="H89" s="4" t="n"/>
      <c r="I89" s="3" t="n"/>
      <c r="J89" s="3" t="n"/>
      <c r="M89" s="3">
        <f>IF(F89="","",J89*K89)</f>
        <v/>
      </c>
      <c r="N89" s="3">
        <f>IF(F89="","",SUMIF(Abonos!$B$2:$B$5000,F89,Abonos!$C$2:$C$5000))</f>
        <v/>
      </c>
      <c r="O89">
        <f>IF(F89="","",MIN(K89,IF(TODAY()&lt;=H89,0,IF(L89="sí",TODAY()-H89,NETWORKDAYS.INTL(H89+1,TODAY(),11)))))</f>
        <v/>
      </c>
      <c r="P89" s="3">
        <f>IF(F89="","",O89*J89)</f>
        <v/>
      </c>
      <c r="Q89" s="3">
        <f>IF(F89="","",MAX(0,P89-N89))</f>
        <v/>
      </c>
      <c r="R89">
        <f>IF(F89="","",IF(N(J89)=0,0,ROUNDUP(Q89/J89,0)))</f>
        <v/>
      </c>
      <c r="S89" s="4">
        <f>IF(F89="","",IFERROR(1/(1/_xlfn.MAXIFS(Abonos!$A$2:$A$5000,Abonos!$B$2:$B$5000,F89)),""))</f>
        <v/>
      </c>
      <c r="T89">
        <f>IF(F89="","",IF(AND(G89='Ruta de hoy'!$B$4,N(D89)&gt;0),COUNTIFS($G$2:G89,'Ruta de hoy'!$B$4,$D$2:D89,"&gt;0"),""))</f>
        <v/>
      </c>
    </row>
    <row r="90">
      <c r="D90" s="3">
        <f>IF(F90="","",MAX(0,M90-N90))</f>
        <v/>
      </c>
      <c r="H90" s="4" t="n"/>
      <c r="I90" s="3" t="n"/>
      <c r="J90" s="3" t="n"/>
      <c r="M90" s="3">
        <f>IF(F90="","",J90*K90)</f>
        <v/>
      </c>
      <c r="N90" s="3">
        <f>IF(F90="","",SUMIF(Abonos!$B$2:$B$5000,F90,Abonos!$C$2:$C$5000))</f>
        <v/>
      </c>
      <c r="O90">
        <f>IF(F90="","",MIN(K90,IF(TODAY()&lt;=H90,0,IF(L90="sí",TODAY()-H90,NETWORKDAYS.INTL(H90+1,TODAY(),11)))))</f>
        <v/>
      </c>
      <c r="P90" s="3">
        <f>IF(F90="","",O90*J90)</f>
        <v/>
      </c>
      <c r="Q90" s="3">
        <f>IF(F90="","",MAX(0,P90-N90))</f>
        <v/>
      </c>
      <c r="R90">
        <f>IF(F90="","",IF(N(J90)=0,0,ROUNDUP(Q90/J90,0)))</f>
        <v/>
      </c>
      <c r="S90" s="4">
        <f>IF(F90="","",IFERROR(1/(1/_xlfn.MAXIFS(Abonos!$A$2:$A$5000,Abonos!$B$2:$B$5000,F90)),""))</f>
        <v/>
      </c>
      <c r="T90">
        <f>IF(F90="","",IF(AND(G90='Ruta de hoy'!$B$4,N(D90)&gt;0),COUNTIFS($G$2:G90,'Ruta de hoy'!$B$4,$D$2:D90,"&gt;0"),""))</f>
        <v/>
      </c>
    </row>
    <row r="91">
      <c r="D91" s="3">
        <f>IF(F91="","",MAX(0,M91-N91))</f>
        <v/>
      </c>
      <c r="H91" s="4" t="n"/>
      <c r="I91" s="3" t="n"/>
      <c r="J91" s="3" t="n"/>
      <c r="M91" s="3">
        <f>IF(F91="","",J91*K91)</f>
        <v/>
      </c>
      <c r="N91" s="3">
        <f>IF(F91="","",SUMIF(Abonos!$B$2:$B$5000,F91,Abonos!$C$2:$C$5000))</f>
        <v/>
      </c>
      <c r="O91">
        <f>IF(F91="","",MIN(K91,IF(TODAY()&lt;=H91,0,IF(L91="sí",TODAY()-H91,NETWORKDAYS.INTL(H91+1,TODAY(),11)))))</f>
        <v/>
      </c>
      <c r="P91" s="3">
        <f>IF(F91="","",O91*J91)</f>
        <v/>
      </c>
      <c r="Q91" s="3">
        <f>IF(F91="","",MAX(0,P91-N91))</f>
        <v/>
      </c>
      <c r="R91">
        <f>IF(F91="","",IF(N(J91)=0,0,ROUNDUP(Q91/J91,0)))</f>
        <v/>
      </c>
      <c r="S91" s="4">
        <f>IF(F91="","",IFERROR(1/(1/_xlfn.MAXIFS(Abonos!$A$2:$A$5000,Abonos!$B$2:$B$5000,F91)),""))</f>
        <v/>
      </c>
      <c r="T91">
        <f>IF(F91="","",IF(AND(G91='Ruta de hoy'!$B$4,N(D91)&gt;0),COUNTIFS($G$2:G91,'Ruta de hoy'!$B$4,$D$2:D91,"&gt;0"),""))</f>
        <v/>
      </c>
    </row>
    <row r="92">
      <c r="D92" s="3">
        <f>IF(F92="","",MAX(0,M92-N92))</f>
        <v/>
      </c>
      <c r="H92" s="4" t="n"/>
      <c r="I92" s="3" t="n"/>
      <c r="J92" s="3" t="n"/>
      <c r="M92" s="3">
        <f>IF(F92="","",J92*K92)</f>
        <v/>
      </c>
      <c r="N92" s="3">
        <f>IF(F92="","",SUMIF(Abonos!$B$2:$B$5000,F92,Abonos!$C$2:$C$5000))</f>
        <v/>
      </c>
      <c r="O92">
        <f>IF(F92="","",MIN(K92,IF(TODAY()&lt;=H92,0,IF(L92="sí",TODAY()-H92,NETWORKDAYS.INTL(H92+1,TODAY(),11)))))</f>
        <v/>
      </c>
      <c r="P92" s="3">
        <f>IF(F92="","",O92*J92)</f>
        <v/>
      </c>
      <c r="Q92" s="3">
        <f>IF(F92="","",MAX(0,P92-N92))</f>
        <v/>
      </c>
      <c r="R92">
        <f>IF(F92="","",IF(N(J92)=0,0,ROUNDUP(Q92/J92,0)))</f>
        <v/>
      </c>
      <c r="S92" s="4">
        <f>IF(F92="","",IFERROR(1/(1/_xlfn.MAXIFS(Abonos!$A$2:$A$5000,Abonos!$B$2:$B$5000,F92)),""))</f>
        <v/>
      </c>
      <c r="T92">
        <f>IF(F92="","",IF(AND(G92='Ruta de hoy'!$B$4,N(D92)&gt;0),COUNTIFS($G$2:G92,'Ruta de hoy'!$B$4,$D$2:D92,"&gt;0"),""))</f>
        <v/>
      </c>
    </row>
    <row r="93">
      <c r="D93" s="3">
        <f>IF(F93="","",MAX(0,M93-N93))</f>
        <v/>
      </c>
      <c r="H93" s="4" t="n"/>
      <c r="I93" s="3" t="n"/>
      <c r="J93" s="3" t="n"/>
      <c r="M93" s="3">
        <f>IF(F93="","",J93*K93)</f>
        <v/>
      </c>
      <c r="N93" s="3">
        <f>IF(F93="","",SUMIF(Abonos!$B$2:$B$5000,F93,Abonos!$C$2:$C$5000))</f>
        <v/>
      </c>
      <c r="O93">
        <f>IF(F93="","",MIN(K93,IF(TODAY()&lt;=H93,0,IF(L93="sí",TODAY()-H93,NETWORKDAYS.INTL(H93+1,TODAY(),11)))))</f>
        <v/>
      </c>
      <c r="P93" s="3">
        <f>IF(F93="","",O93*J93)</f>
        <v/>
      </c>
      <c r="Q93" s="3">
        <f>IF(F93="","",MAX(0,P93-N93))</f>
        <v/>
      </c>
      <c r="R93">
        <f>IF(F93="","",IF(N(J93)=0,0,ROUNDUP(Q93/J93,0)))</f>
        <v/>
      </c>
      <c r="S93" s="4">
        <f>IF(F93="","",IFERROR(1/(1/_xlfn.MAXIFS(Abonos!$A$2:$A$5000,Abonos!$B$2:$B$5000,F93)),""))</f>
        <v/>
      </c>
      <c r="T93">
        <f>IF(F93="","",IF(AND(G93='Ruta de hoy'!$B$4,N(D93)&gt;0),COUNTIFS($G$2:G93,'Ruta de hoy'!$B$4,$D$2:D93,"&gt;0"),""))</f>
        <v/>
      </c>
    </row>
    <row r="94">
      <c r="D94" s="3">
        <f>IF(F94="","",MAX(0,M94-N94))</f>
        <v/>
      </c>
      <c r="H94" s="4" t="n"/>
      <c r="I94" s="3" t="n"/>
      <c r="J94" s="3" t="n"/>
      <c r="M94" s="3">
        <f>IF(F94="","",J94*K94)</f>
        <v/>
      </c>
      <c r="N94" s="3">
        <f>IF(F94="","",SUMIF(Abonos!$B$2:$B$5000,F94,Abonos!$C$2:$C$5000))</f>
        <v/>
      </c>
      <c r="O94">
        <f>IF(F94="","",MIN(K94,IF(TODAY()&lt;=H94,0,IF(L94="sí",TODAY()-H94,NETWORKDAYS.INTL(H94+1,TODAY(),11)))))</f>
        <v/>
      </c>
      <c r="P94" s="3">
        <f>IF(F94="","",O94*J94)</f>
        <v/>
      </c>
      <c r="Q94" s="3">
        <f>IF(F94="","",MAX(0,P94-N94))</f>
        <v/>
      </c>
      <c r="R94">
        <f>IF(F94="","",IF(N(J94)=0,0,ROUNDUP(Q94/J94,0)))</f>
        <v/>
      </c>
      <c r="S94" s="4">
        <f>IF(F94="","",IFERROR(1/(1/_xlfn.MAXIFS(Abonos!$A$2:$A$5000,Abonos!$B$2:$B$5000,F94)),""))</f>
        <v/>
      </c>
      <c r="T94">
        <f>IF(F94="","",IF(AND(G94='Ruta de hoy'!$B$4,N(D94)&gt;0),COUNTIFS($G$2:G94,'Ruta de hoy'!$B$4,$D$2:D94,"&gt;0"),""))</f>
        <v/>
      </c>
    </row>
    <row r="95">
      <c r="D95" s="3">
        <f>IF(F95="","",MAX(0,M95-N95))</f>
        <v/>
      </c>
      <c r="H95" s="4" t="n"/>
      <c r="I95" s="3" t="n"/>
      <c r="J95" s="3" t="n"/>
      <c r="M95" s="3">
        <f>IF(F95="","",J95*K95)</f>
        <v/>
      </c>
      <c r="N95" s="3">
        <f>IF(F95="","",SUMIF(Abonos!$B$2:$B$5000,F95,Abonos!$C$2:$C$5000))</f>
        <v/>
      </c>
      <c r="O95">
        <f>IF(F95="","",MIN(K95,IF(TODAY()&lt;=H95,0,IF(L95="sí",TODAY()-H95,NETWORKDAYS.INTL(H95+1,TODAY(),11)))))</f>
        <v/>
      </c>
      <c r="P95" s="3">
        <f>IF(F95="","",O95*J95)</f>
        <v/>
      </c>
      <c r="Q95" s="3">
        <f>IF(F95="","",MAX(0,P95-N95))</f>
        <v/>
      </c>
      <c r="R95">
        <f>IF(F95="","",IF(N(J95)=0,0,ROUNDUP(Q95/J95,0)))</f>
        <v/>
      </c>
      <c r="S95" s="4">
        <f>IF(F95="","",IFERROR(1/(1/_xlfn.MAXIFS(Abonos!$A$2:$A$5000,Abonos!$B$2:$B$5000,F95)),""))</f>
        <v/>
      </c>
      <c r="T95">
        <f>IF(F95="","",IF(AND(G95='Ruta de hoy'!$B$4,N(D95)&gt;0),COUNTIFS($G$2:G95,'Ruta de hoy'!$B$4,$D$2:D95,"&gt;0"),""))</f>
        <v/>
      </c>
    </row>
    <row r="96">
      <c r="D96" s="3">
        <f>IF(F96="","",MAX(0,M96-N96))</f>
        <v/>
      </c>
      <c r="H96" s="4" t="n"/>
      <c r="I96" s="3" t="n"/>
      <c r="J96" s="3" t="n"/>
      <c r="M96" s="3">
        <f>IF(F96="","",J96*K96)</f>
        <v/>
      </c>
      <c r="N96" s="3">
        <f>IF(F96="","",SUMIF(Abonos!$B$2:$B$5000,F96,Abonos!$C$2:$C$5000))</f>
        <v/>
      </c>
      <c r="O96">
        <f>IF(F96="","",MIN(K96,IF(TODAY()&lt;=H96,0,IF(L96="sí",TODAY()-H96,NETWORKDAYS.INTL(H96+1,TODAY(),11)))))</f>
        <v/>
      </c>
      <c r="P96" s="3">
        <f>IF(F96="","",O96*J96)</f>
        <v/>
      </c>
      <c r="Q96" s="3">
        <f>IF(F96="","",MAX(0,P96-N96))</f>
        <v/>
      </c>
      <c r="R96">
        <f>IF(F96="","",IF(N(J96)=0,0,ROUNDUP(Q96/J96,0)))</f>
        <v/>
      </c>
      <c r="S96" s="4">
        <f>IF(F96="","",IFERROR(1/(1/_xlfn.MAXIFS(Abonos!$A$2:$A$5000,Abonos!$B$2:$B$5000,F96)),""))</f>
        <v/>
      </c>
      <c r="T96">
        <f>IF(F96="","",IF(AND(G96='Ruta de hoy'!$B$4,N(D96)&gt;0),COUNTIFS($G$2:G96,'Ruta de hoy'!$B$4,$D$2:D96,"&gt;0"),""))</f>
        <v/>
      </c>
    </row>
    <row r="97">
      <c r="D97" s="3">
        <f>IF(F97="","",MAX(0,M97-N97))</f>
        <v/>
      </c>
      <c r="H97" s="4" t="n"/>
      <c r="I97" s="3" t="n"/>
      <c r="J97" s="3" t="n"/>
      <c r="M97" s="3">
        <f>IF(F97="","",J97*K97)</f>
        <v/>
      </c>
      <c r="N97" s="3">
        <f>IF(F97="","",SUMIF(Abonos!$B$2:$B$5000,F97,Abonos!$C$2:$C$5000))</f>
        <v/>
      </c>
      <c r="O97">
        <f>IF(F97="","",MIN(K97,IF(TODAY()&lt;=H97,0,IF(L97="sí",TODAY()-H97,NETWORKDAYS.INTL(H97+1,TODAY(),11)))))</f>
        <v/>
      </c>
      <c r="P97" s="3">
        <f>IF(F97="","",O97*J97)</f>
        <v/>
      </c>
      <c r="Q97" s="3">
        <f>IF(F97="","",MAX(0,P97-N97))</f>
        <v/>
      </c>
      <c r="R97">
        <f>IF(F97="","",IF(N(J97)=0,0,ROUNDUP(Q97/J97,0)))</f>
        <v/>
      </c>
      <c r="S97" s="4">
        <f>IF(F97="","",IFERROR(1/(1/_xlfn.MAXIFS(Abonos!$A$2:$A$5000,Abonos!$B$2:$B$5000,F97)),""))</f>
        <v/>
      </c>
      <c r="T97">
        <f>IF(F97="","",IF(AND(G97='Ruta de hoy'!$B$4,N(D97)&gt;0),COUNTIFS($G$2:G97,'Ruta de hoy'!$B$4,$D$2:D97,"&gt;0"),""))</f>
        <v/>
      </c>
    </row>
    <row r="98">
      <c r="D98" s="3">
        <f>IF(F98="","",MAX(0,M98-N98))</f>
        <v/>
      </c>
      <c r="H98" s="4" t="n"/>
      <c r="I98" s="3" t="n"/>
      <c r="J98" s="3" t="n"/>
      <c r="M98" s="3">
        <f>IF(F98="","",J98*K98)</f>
        <v/>
      </c>
      <c r="N98" s="3">
        <f>IF(F98="","",SUMIF(Abonos!$B$2:$B$5000,F98,Abonos!$C$2:$C$5000))</f>
        <v/>
      </c>
      <c r="O98">
        <f>IF(F98="","",MIN(K98,IF(TODAY()&lt;=H98,0,IF(L98="sí",TODAY()-H98,NETWORKDAYS.INTL(H98+1,TODAY(),11)))))</f>
        <v/>
      </c>
      <c r="P98" s="3">
        <f>IF(F98="","",O98*J98)</f>
        <v/>
      </c>
      <c r="Q98" s="3">
        <f>IF(F98="","",MAX(0,P98-N98))</f>
        <v/>
      </c>
      <c r="R98">
        <f>IF(F98="","",IF(N(J98)=0,0,ROUNDUP(Q98/J98,0)))</f>
        <v/>
      </c>
      <c r="S98" s="4">
        <f>IF(F98="","",IFERROR(1/(1/_xlfn.MAXIFS(Abonos!$A$2:$A$5000,Abonos!$B$2:$B$5000,F98)),""))</f>
        <v/>
      </c>
      <c r="T98">
        <f>IF(F98="","",IF(AND(G98='Ruta de hoy'!$B$4,N(D98)&gt;0),COUNTIFS($G$2:G98,'Ruta de hoy'!$B$4,$D$2:D98,"&gt;0"),""))</f>
        <v/>
      </c>
    </row>
    <row r="99">
      <c r="D99" s="3">
        <f>IF(F99="","",MAX(0,M99-N99))</f>
        <v/>
      </c>
      <c r="H99" s="4" t="n"/>
      <c r="I99" s="3" t="n"/>
      <c r="J99" s="3" t="n"/>
      <c r="M99" s="3">
        <f>IF(F99="","",J99*K99)</f>
        <v/>
      </c>
      <c r="N99" s="3">
        <f>IF(F99="","",SUMIF(Abonos!$B$2:$B$5000,F99,Abonos!$C$2:$C$5000))</f>
        <v/>
      </c>
      <c r="O99">
        <f>IF(F99="","",MIN(K99,IF(TODAY()&lt;=H99,0,IF(L99="sí",TODAY()-H99,NETWORKDAYS.INTL(H99+1,TODAY(),11)))))</f>
        <v/>
      </c>
      <c r="P99" s="3">
        <f>IF(F99="","",O99*J99)</f>
        <v/>
      </c>
      <c r="Q99" s="3">
        <f>IF(F99="","",MAX(0,P99-N99))</f>
        <v/>
      </c>
      <c r="R99">
        <f>IF(F99="","",IF(N(J99)=0,0,ROUNDUP(Q99/J99,0)))</f>
        <v/>
      </c>
      <c r="S99" s="4">
        <f>IF(F99="","",IFERROR(1/(1/_xlfn.MAXIFS(Abonos!$A$2:$A$5000,Abonos!$B$2:$B$5000,F99)),""))</f>
        <v/>
      </c>
      <c r="T99">
        <f>IF(F99="","",IF(AND(G99='Ruta de hoy'!$B$4,N(D99)&gt;0),COUNTIFS($G$2:G99,'Ruta de hoy'!$B$4,$D$2:D99,"&gt;0"),""))</f>
        <v/>
      </c>
    </row>
    <row r="100">
      <c r="D100" s="3">
        <f>IF(F100="","",MAX(0,M100-N100))</f>
        <v/>
      </c>
      <c r="H100" s="4" t="n"/>
      <c r="I100" s="3" t="n"/>
      <c r="J100" s="3" t="n"/>
      <c r="M100" s="3">
        <f>IF(F100="","",J100*K100)</f>
        <v/>
      </c>
      <c r="N100" s="3">
        <f>IF(F100="","",SUMIF(Abonos!$B$2:$B$5000,F100,Abonos!$C$2:$C$5000))</f>
        <v/>
      </c>
      <c r="O100">
        <f>IF(F100="","",MIN(K100,IF(TODAY()&lt;=H100,0,IF(L100="sí",TODAY()-H100,NETWORKDAYS.INTL(H100+1,TODAY(),11)))))</f>
        <v/>
      </c>
      <c r="P100" s="3">
        <f>IF(F100="","",O100*J100)</f>
        <v/>
      </c>
      <c r="Q100" s="3">
        <f>IF(F100="","",MAX(0,P100-N100))</f>
        <v/>
      </c>
      <c r="R100">
        <f>IF(F100="","",IF(N(J100)=0,0,ROUNDUP(Q100/J100,0)))</f>
        <v/>
      </c>
      <c r="S100" s="4">
        <f>IF(F100="","",IFERROR(1/(1/_xlfn.MAXIFS(Abonos!$A$2:$A$5000,Abonos!$B$2:$B$5000,F100)),""))</f>
        <v/>
      </c>
      <c r="T100">
        <f>IF(F100="","",IF(AND(G100='Ruta de hoy'!$B$4,N(D100)&gt;0),COUNTIFS($G$2:G100,'Ruta de hoy'!$B$4,$D$2:D100,"&gt;0"),""))</f>
        <v/>
      </c>
    </row>
    <row r="101">
      <c r="D101" s="3">
        <f>IF(F101="","",MAX(0,M101-N101))</f>
        <v/>
      </c>
      <c r="H101" s="4" t="n"/>
      <c r="I101" s="3" t="n"/>
      <c r="J101" s="3" t="n"/>
      <c r="M101" s="3">
        <f>IF(F101="","",J101*K101)</f>
        <v/>
      </c>
      <c r="N101" s="3">
        <f>IF(F101="","",SUMIF(Abonos!$B$2:$B$5000,F101,Abonos!$C$2:$C$5000))</f>
        <v/>
      </c>
      <c r="O101">
        <f>IF(F101="","",MIN(K101,IF(TODAY()&lt;=H101,0,IF(L101="sí",TODAY()-H101,NETWORKDAYS.INTL(H101+1,TODAY(),11)))))</f>
        <v/>
      </c>
      <c r="P101" s="3">
        <f>IF(F101="","",O101*J101)</f>
        <v/>
      </c>
      <c r="Q101" s="3">
        <f>IF(F101="","",MAX(0,P101-N101))</f>
        <v/>
      </c>
      <c r="R101">
        <f>IF(F101="","",IF(N(J101)=0,0,ROUNDUP(Q101/J101,0)))</f>
        <v/>
      </c>
      <c r="S101" s="4">
        <f>IF(F101="","",IFERROR(1/(1/_xlfn.MAXIFS(Abonos!$A$2:$A$5000,Abonos!$B$2:$B$5000,F101)),""))</f>
        <v/>
      </c>
      <c r="T101">
        <f>IF(F101="","",IF(AND(G101='Ruta de hoy'!$B$4,N(D101)&gt;0),COUNTIFS($G$2:G101,'Ruta de hoy'!$B$4,$D$2:D101,"&gt;0"),""))</f>
        <v/>
      </c>
    </row>
    <row r="102">
      <c r="D102" s="3">
        <f>IF(F102="","",MAX(0,M102-N102))</f>
        <v/>
      </c>
      <c r="H102" s="4" t="n"/>
      <c r="I102" s="3" t="n"/>
      <c r="J102" s="3" t="n"/>
      <c r="M102" s="3">
        <f>IF(F102="","",J102*K102)</f>
        <v/>
      </c>
      <c r="N102" s="3">
        <f>IF(F102="","",SUMIF(Abonos!$B$2:$B$5000,F102,Abonos!$C$2:$C$5000))</f>
        <v/>
      </c>
      <c r="O102">
        <f>IF(F102="","",MIN(K102,IF(TODAY()&lt;=H102,0,IF(L102="sí",TODAY()-H102,NETWORKDAYS.INTL(H102+1,TODAY(),11)))))</f>
        <v/>
      </c>
      <c r="P102" s="3">
        <f>IF(F102="","",O102*J102)</f>
        <v/>
      </c>
      <c r="Q102" s="3">
        <f>IF(F102="","",MAX(0,P102-N102))</f>
        <v/>
      </c>
      <c r="R102">
        <f>IF(F102="","",IF(N(J102)=0,0,ROUNDUP(Q102/J102,0)))</f>
        <v/>
      </c>
      <c r="S102" s="4">
        <f>IF(F102="","",IFERROR(1/(1/_xlfn.MAXIFS(Abonos!$A$2:$A$5000,Abonos!$B$2:$B$5000,F102)),""))</f>
        <v/>
      </c>
      <c r="T102">
        <f>IF(F102="","",IF(AND(G102='Ruta de hoy'!$B$4,N(D102)&gt;0),COUNTIFS($G$2:G102,'Ruta de hoy'!$B$4,$D$2:D102,"&gt;0"),""))</f>
        <v/>
      </c>
    </row>
    <row r="103">
      <c r="D103" s="3">
        <f>IF(F103="","",MAX(0,M103-N103))</f>
        <v/>
      </c>
      <c r="H103" s="4" t="n"/>
      <c r="I103" s="3" t="n"/>
      <c r="J103" s="3" t="n"/>
      <c r="M103" s="3">
        <f>IF(F103="","",J103*K103)</f>
        <v/>
      </c>
      <c r="N103" s="3">
        <f>IF(F103="","",SUMIF(Abonos!$B$2:$B$5000,F103,Abonos!$C$2:$C$5000))</f>
        <v/>
      </c>
      <c r="O103">
        <f>IF(F103="","",MIN(K103,IF(TODAY()&lt;=H103,0,IF(L103="sí",TODAY()-H103,NETWORKDAYS.INTL(H103+1,TODAY(),11)))))</f>
        <v/>
      </c>
      <c r="P103" s="3">
        <f>IF(F103="","",O103*J103)</f>
        <v/>
      </c>
      <c r="Q103" s="3">
        <f>IF(F103="","",MAX(0,P103-N103))</f>
        <v/>
      </c>
      <c r="R103">
        <f>IF(F103="","",IF(N(J103)=0,0,ROUNDUP(Q103/J103,0)))</f>
        <v/>
      </c>
      <c r="S103" s="4">
        <f>IF(F103="","",IFERROR(1/(1/_xlfn.MAXIFS(Abonos!$A$2:$A$5000,Abonos!$B$2:$B$5000,F103)),""))</f>
        <v/>
      </c>
      <c r="T103">
        <f>IF(F103="","",IF(AND(G103='Ruta de hoy'!$B$4,N(D103)&gt;0),COUNTIFS($G$2:G103,'Ruta de hoy'!$B$4,$D$2:D103,"&gt;0"),""))</f>
        <v/>
      </c>
    </row>
    <row r="104">
      <c r="D104" s="3">
        <f>IF(F104="","",MAX(0,M104-N104))</f>
        <v/>
      </c>
      <c r="H104" s="4" t="n"/>
      <c r="I104" s="3" t="n"/>
      <c r="J104" s="3" t="n"/>
      <c r="M104" s="3">
        <f>IF(F104="","",J104*K104)</f>
        <v/>
      </c>
      <c r="N104" s="3">
        <f>IF(F104="","",SUMIF(Abonos!$B$2:$B$5000,F104,Abonos!$C$2:$C$5000))</f>
        <v/>
      </c>
      <c r="O104">
        <f>IF(F104="","",MIN(K104,IF(TODAY()&lt;=H104,0,IF(L104="sí",TODAY()-H104,NETWORKDAYS.INTL(H104+1,TODAY(),11)))))</f>
        <v/>
      </c>
      <c r="P104" s="3">
        <f>IF(F104="","",O104*J104)</f>
        <v/>
      </c>
      <c r="Q104" s="3">
        <f>IF(F104="","",MAX(0,P104-N104))</f>
        <v/>
      </c>
      <c r="R104">
        <f>IF(F104="","",IF(N(J104)=0,0,ROUNDUP(Q104/J104,0)))</f>
        <v/>
      </c>
      <c r="S104" s="4">
        <f>IF(F104="","",IFERROR(1/(1/_xlfn.MAXIFS(Abonos!$A$2:$A$5000,Abonos!$B$2:$B$5000,F104)),""))</f>
        <v/>
      </c>
      <c r="T104">
        <f>IF(F104="","",IF(AND(G104='Ruta de hoy'!$B$4,N(D104)&gt;0),COUNTIFS($G$2:G104,'Ruta de hoy'!$B$4,$D$2:D104,"&gt;0"),""))</f>
        <v/>
      </c>
    </row>
    <row r="105">
      <c r="D105" s="3">
        <f>IF(F105="","",MAX(0,M105-N105))</f>
        <v/>
      </c>
      <c r="H105" s="4" t="n"/>
      <c r="I105" s="3" t="n"/>
      <c r="J105" s="3" t="n"/>
      <c r="M105" s="3">
        <f>IF(F105="","",J105*K105)</f>
        <v/>
      </c>
      <c r="N105" s="3">
        <f>IF(F105="","",SUMIF(Abonos!$B$2:$B$5000,F105,Abonos!$C$2:$C$5000))</f>
        <v/>
      </c>
      <c r="O105">
        <f>IF(F105="","",MIN(K105,IF(TODAY()&lt;=H105,0,IF(L105="sí",TODAY()-H105,NETWORKDAYS.INTL(H105+1,TODAY(),11)))))</f>
        <v/>
      </c>
      <c r="P105" s="3">
        <f>IF(F105="","",O105*J105)</f>
        <v/>
      </c>
      <c r="Q105" s="3">
        <f>IF(F105="","",MAX(0,P105-N105))</f>
        <v/>
      </c>
      <c r="R105">
        <f>IF(F105="","",IF(N(J105)=0,0,ROUNDUP(Q105/J105,0)))</f>
        <v/>
      </c>
      <c r="S105" s="4">
        <f>IF(F105="","",IFERROR(1/(1/_xlfn.MAXIFS(Abonos!$A$2:$A$5000,Abonos!$B$2:$B$5000,F105)),""))</f>
        <v/>
      </c>
      <c r="T105">
        <f>IF(F105="","",IF(AND(G105='Ruta de hoy'!$B$4,N(D105)&gt;0),COUNTIFS($G$2:G105,'Ruta de hoy'!$B$4,$D$2:D105,"&gt;0"),""))</f>
        <v/>
      </c>
    </row>
    <row r="106">
      <c r="D106" s="3">
        <f>IF(F106="","",MAX(0,M106-N106))</f>
        <v/>
      </c>
      <c r="H106" s="4" t="n"/>
      <c r="I106" s="3" t="n"/>
      <c r="J106" s="3" t="n"/>
      <c r="M106" s="3">
        <f>IF(F106="","",J106*K106)</f>
        <v/>
      </c>
      <c r="N106" s="3">
        <f>IF(F106="","",SUMIF(Abonos!$B$2:$B$5000,F106,Abonos!$C$2:$C$5000))</f>
        <v/>
      </c>
      <c r="O106">
        <f>IF(F106="","",MIN(K106,IF(TODAY()&lt;=H106,0,IF(L106="sí",TODAY()-H106,NETWORKDAYS.INTL(H106+1,TODAY(),11)))))</f>
        <v/>
      </c>
      <c r="P106" s="3">
        <f>IF(F106="","",O106*J106)</f>
        <v/>
      </c>
      <c r="Q106" s="3">
        <f>IF(F106="","",MAX(0,P106-N106))</f>
        <v/>
      </c>
      <c r="R106">
        <f>IF(F106="","",IF(N(J106)=0,0,ROUNDUP(Q106/J106,0)))</f>
        <v/>
      </c>
      <c r="S106" s="4">
        <f>IF(F106="","",IFERROR(1/(1/_xlfn.MAXIFS(Abonos!$A$2:$A$5000,Abonos!$B$2:$B$5000,F106)),""))</f>
        <v/>
      </c>
      <c r="T106">
        <f>IF(F106="","",IF(AND(G106='Ruta de hoy'!$B$4,N(D106)&gt;0),COUNTIFS($G$2:G106,'Ruta de hoy'!$B$4,$D$2:D106,"&gt;0"),""))</f>
        <v/>
      </c>
    </row>
    <row r="107">
      <c r="D107" s="3">
        <f>IF(F107="","",MAX(0,M107-N107))</f>
        <v/>
      </c>
      <c r="H107" s="4" t="n"/>
      <c r="I107" s="3" t="n"/>
      <c r="J107" s="3" t="n"/>
      <c r="M107" s="3">
        <f>IF(F107="","",J107*K107)</f>
        <v/>
      </c>
      <c r="N107" s="3">
        <f>IF(F107="","",SUMIF(Abonos!$B$2:$B$5000,F107,Abonos!$C$2:$C$5000))</f>
        <v/>
      </c>
      <c r="O107">
        <f>IF(F107="","",MIN(K107,IF(TODAY()&lt;=H107,0,IF(L107="sí",TODAY()-H107,NETWORKDAYS.INTL(H107+1,TODAY(),11)))))</f>
        <v/>
      </c>
      <c r="P107" s="3">
        <f>IF(F107="","",O107*J107)</f>
        <v/>
      </c>
      <c r="Q107" s="3">
        <f>IF(F107="","",MAX(0,P107-N107))</f>
        <v/>
      </c>
      <c r="R107">
        <f>IF(F107="","",IF(N(J107)=0,0,ROUNDUP(Q107/J107,0)))</f>
        <v/>
      </c>
      <c r="S107" s="4">
        <f>IF(F107="","",IFERROR(1/(1/_xlfn.MAXIFS(Abonos!$A$2:$A$5000,Abonos!$B$2:$B$5000,F107)),""))</f>
        <v/>
      </c>
      <c r="T107">
        <f>IF(F107="","",IF(AND(G107='Ruta de hoy'!$B$4,N(D107)&gt;0),COUNTIFS($G$2:G107,'Ruta de hoy'!$B$4,$D$2:D107,"&gt;0"),""))</f>
        <v/>
      </c>
    </row>
    <row r="108">
      <c r="D108" s="3">
        <f>IF(F108="","",MAX(0,M108-N108))</f>
        <v/>
      </c>
      <c r="H108" s="4" t="n"/>
      <c r="I108" s="3" t="n"/>
      <c r="J108" s="3" t="n"/>
      <c r="M108" s="3">
        <f>IF(F108="","",J108*K108)</f>
        <v/>
      </c>
      <c r="N108" s="3">
        <f>IF(F108="","",SUMIF(Abonos!$B$2:$B$5000,F108,Abonos!$C$2:$C$5000))</f>
        <v/>
      </c>
      <c r="O108">
        <f>IF(F108="","",MIN(K108,IF(TODAY()&lt;=H108,0,IF(L108="sí",TODAY()-H108,NETWORKDAYS.INTL(H108+1,TODAY(),11)))))</f>
        <v/>
      </c>
      <c r="P108" s="3">
        <f>IF(F108="","",O108*J108)</f>
        <v/>
      </c>
      <c r="Q108" s="3">
        <f>IF(F108="","",MAX(0,P108-N108))</f>
        <v/>
      </c>
      <c r="R108">
        <f>IF(F108="","",IF(N(J108)=0,0,ROUNDUP(Q108/J108,0)))</f>
        <v/>
      </c>
      <c r="S108" s="4">
        <f>IF(F108="","",IFERROR(1/(1/_xlfn.MAXIFS(Abonos!$A$2:$A$5000,Abonos!$B$2:$B$5000,F108)),""))</f>
        <v/>
      </c>
      <c r="T108">
        <f>IF(F108="","",IF(AND(G108='Ruta de hoy'!$B$4,N(D108)&gt;0),COUNTIFS($G$2:G108,'Ruta de hoy'!$B$4,$D$2:D108,"&gt;0"),""))</f>
        <v/>
      </c>
    </row>
    <row r="109">
      <c r="D109" s="3">
        <f>IF(F109="","",MAX(0,M109-N109))</f>
        <v/>
      </c>
      <c r="H109" s="4" t="n"/>
      <c r="I109" s="3" t="n"/>
      <c r="J109" s="3" t="n"/>
      <c r="M109" s="3">
        <f>IF(F109="","",J109*K109)</f>
        <v/>
      </c>
      <c r="N109" s="3">
        <f>IF(F109="","",SUMIF(Abonos!$B$2:$B$5000,F109,Abonos!$C$2:$C$5000))</f>
        <v/>
      </c>
      <c r="O109">
        <f>IF(F109="","",MIN(K109,IF(TODAY()&lt;=H109,0,IF(L109="sí",TODAY()-H109,NETWORKDAYS.INTL(H109+1,TODAY(),11)))))</f>
        <v/>
      </c>
      <c r="P109" s="3">
        <f>IF(F109="","",O109*J109)</f>
        <v/>
      </c>
      <c r="Q109" s="3">
        <f>IF(F109="","",MAX(0,P109-N109))</f>
        <v/>
      </c>
      <c r="R109">
        <f>IF(F109="","",IF(N(J109)=0,0,ROUNDUP(Q109/J109,0)))</f>
        <v/>
      </c>
      <c r="S109" s="4">
        <f>IF(F109="","",IFERROR(1/(1/_xlfn.MAXIFS(Abonos!$A$2:$A$5000,Abonos!$B$2:$B$5000,F109)),""))</f>
        <v/>
      </c>
      <c r="T109">
        <f>IF(F109="","",IF(AND(G109='Ruta de hoy'!$B$4,N(D109)&gt;0),COUNTIFS($G$2:G109,'Ruta de hoy'!$B$4,$D$2:D109,"&gt;0"),""))</f>
        <v/>
      </c>
    </row>
    <row r="110">
      <c r="D110" s="3">
        <f>IF(F110="","",MAX(0,M110-N110))</f>
        <v/>
      </c>
      <c r="H110" s="4" t="n"/>
      <c r="I110" s="3" t="n"/>
      <c r="J110" s="3" t="n"/>
      <c r="M110" s="3">
        <f>IF(F110="","",J110*K110)</f>
        <v/>
      </c>
      <c r="N110" s="3">
        <f>IF(F110="","",SUMIF(Abonos!$B$2:$B$5000,F110,Abonos!$C$2:$C$5000))</f>
        <v/>
      </c>
      <c r="O110">
        <f>IF(F110="","",MIN(K110,IF(TODAY()&lt;=H110,0,IF(L110="sí",TODAY()-H110,NETWORKDAYS.INTL(H110+1,TODAY(),11)))))</f>
        <v/>
      </c>
      <c r="P110" s="3">
        <f>IF(F110="","",O110*J110)</f>
        <v/>
      </c>
      <c r="Q110" s="3">
        <f>IF(F110="","",MAX(0,P110-N110))</f>
        <v/>
      </c>
      <c r="R110">
        <f>IF(F110="","",IF(N(J110)=0,0,ROUNDUP(Q110/J110,0)))</f>
        <v/>
      </c>
      <c r="S110" s="4">
        <f>IF(F110="","",IFERROR(1/(1/_xlfn.MAXIFS(Abonos!$A$2:$A$5000,Abonos!$B$2:$B$5000,F110)),""))</f>
        <v/>
      </c>
      <c r="T110">
        <f>IF(F110="","",IF(AND(G110='Ruta de hoy'!$B$4,N(D110)&gt;0),COUNTIFS($G$2:G110,'Ruta de hoy'!$B$4,$D$2:D110,"&gt;0"),""))</f>
        <v/>
      </c>
    </row>
    <row r="111">
      <c r="D111" s="3">
        <f>IF(F111="","",MAX(0,M111-N111))</f>
        <v/>
      </c>
      <c r="H111" s="4" t="n"/>
      <c r="I111" s="3" t="n"/>
      <c r="J111" s="3" t="n"/>
      <c r="M111" s="3">
        <f>IF(F111="","",J111*K111)</f>
        <v/>
      </c>
      <c r="N111" s="3">
        <f>IF(F111="","",SUMIF(Abonos!$B$2:$B$5000,F111,Abonos!$C$2:$C$5000))</f>
        <v/>
      </c>
      <c r="O111">
        <f>IF(F111="","",MIN(K111,IF(TODAY()&lt;=H111,0,IF(L111="sí",TODAY()-H111,NETWORKDAYS.INTL(H111+1,TODAY(),11)))))</f>
        <v/>
      </c>
      <c r="P111" s="3">
        <f>IF(F111="","",O111*J111)</f>
        <v/>
      </c>
      <c r="Q111" s="3">
        <f>IF(F111="","",MAX(0,P111-N111))</f>
        <v/>
      </c>
      <c r="R111">
        <f>IF(F111="","",IF(N(J111)=0,0,ROUNDUP(Q111/J111,0)))</f>
        <v/>
      </c>
      <c r="S111" s="4">
        <f>IF(F111="","",IFERROR(1/(1/_xlfn.MAXIFS(Abonos!$A$2:$A$5000,Abonos!$B$2:$B$5000,F111)),""))</f>
        <v/>
      </c>
      <c r="T111">
        <f>IF(F111="","",IF(AND(G111='Ruta de hoy'!$B$4,N(D111)&gt;0),COUNTIFS($G$2:G111,'Ruta de hoy'!$B$4,$D$2:D111,"&gt;0"),""))</f>
        <v/>
      </c>
    </row>
    <row r="112">
      <c r="D112" s="3">
        <f>IF(F112="","",MAX(0,M112-N112))</f>
        <v/>
      </c>
      <c r="H112" s="4" t="n"/>
      <c r="I112" s="3" t="n"/>
      <c r="J112" s="3" t="n"/>
      <c r="M112" s="3">
        <f>IF(F112="","",J112*K112)</f>
        <v/>
      </c>
      <c r="N112" s="3">
        <f>IF(F112="","",SUMIF(Abonos!$B$2:$B$5000,F112,Abonos!$C$2:$C$5000))</f>
        <v/>
      </c>
      <c r="O112">
        <f>IF(F112="","",MIN(K112,IF(TODAY()&lt;=H112,0,IF(L112="sí",TODAY()-H112,NETWORKDAYS.INTL(H112+1,TODAY(),11)))))</f>
        <v/>
      </c>
      <c r="P112" s="3">
        <f>IF(F112="","",O112*J112)</f>
        <v/>
      </c>
      <c r="Q112" s="3">
        <f>IF(F112="","",MAX(0,P112-N112))</f>
        <v/>
      </c>
      <c r="R112">
        <f>IF(F112="","",IF(N(J112)=0,0,ROUNDUP(Q112/J112,0)))</f>
        <v/>
      </c>
      <c r="S112" s="4">
        <f>IF(F112="","",IFERROR(1/(1/_xlfn.MAXIFS(Abonos!$A$2:$A$5000,Abonos!$B$2:$B$5000,F112)),""))</f>
        <v/>
      </c>
      <c r="T112">
        <f>IF(F112="","",IF(AND(G112='Ruta de hoy'!$B$4,N(D112)&gt;0),COUNTIFS($G$2:G112,'Ruta de hoy'!$B$4,$D$2:D112,"&gt;0"),""))</f>
        <v/>
      </c>
    </row>
    <row r="113">
      <c r="D113" s="3">
        <f>IF(F113="","",MAX(0,M113-N113))</f>
        <v/>
      </c>
      <c r="H113" s="4" t="n"/>
      <c r="I113" s="3" t="n"/>
      <c r="J113" s="3" t="n"/>
      <c r="M113" s="3">
        <f>IF(F113="","",J113*K113)</f>
        <v/>
      </c>
      <c r="N113" s="3">
        <f>IF(F113="","",SUMIF(Abonos!$B$2:$B$5000,F113,Abonos!$C$2:$C$5000))</f>
        <v/>
      </c>
      <c r="O113">
        <f>IF(F113="","",MIN(K113,IF(TODAY()&lt;=H113,0,IF(L113="sí",TODAY()-H113,NETWORKDAYS.INTL(H113+1,TODAY(),11)))))</f>
        <v/>
      </c>
      <c r="P113" s="3">
        <f>IF(F113="","",O113*J113)</f>
        <v/>
      </c>
      <c r="Q113" s="3">
        <f>IF(F113="","",MAX(0,P113-N113))</f>
        <v/>
      </c>
      <c r="R113">
        <f>IF(F113="","",IF(N(J113)=0,0,ROUNDUP(Q113/J113,0)))</f>
        <v/>
      </c>
      <c r="S113" s="4">
        <f>IF(F113="","",IFERROR(1/(1/_xlfn.MAXIFS(Abonos!$A$2:$A$5000,Abonos!$B$2:$B$5000,F113)),""))</f>
        <v/>
      </c>
      <c r="T113">
        <f>IF(F113="","",IF(AND(G113='Ruta de hoy'!$B$4,N(D113)&gt;0),COUNTIFS($G$2:G113,'Ruta de hoy'!$B$4,$D$2:D113,"&gt;0"),""))</f>
        <v/>
      </c>
    </row>
    <row r="114">
      <c r="D114" s="3">
        <f>IF(F114="","",MAX(0,M114-N114))</f>
        <v/>
      </c>
      <c r="H114" s="4" t="n"/>
      <c r="I114" s="3" t="n"/>
      <c r="J114" s="3" t="n"/>
      <c r="M114" s="3">
        <f>IF(F114="","",J114*K114)</f>
        <v/>
      </c>
      <c r="N114" s="3">
        <f>IF(F114="","",SUMIF(Abonos!$B$2:$B$5000,F114,Abonos!$C$2:$C$5000))</f>
        <v/>
      </c>
      <c r="O114">
        <f>IF(F114="","",MIN(K114,IF(TODAY()&lt;=H114,0,IF(L114="sí",TODAY()-H114,NETWORKDAYS.INTL(H114+1,TODAY(),11)))))</f>
        <v/>
      </c>
      <c r="P114" s="3">
        <f>IF(F114="","",O114*J114)</f>
        <v/>
      </c>
      <c r="Q114" s="3">
        <f>IF(F114="","",MAX(0,P114-N114))</f>
        <v/>
      </c>
      <c r="R114">
        <f>IF(F114="","",IF(N(J114)=0,0,ROUNDUP(Q114/J114,0)))</f>
        <v/>
      </c>
      <c r="S114" s="4">
        <f>IF(F114="","",IFERROR(1/(1/_xlfn.MAXIFS(Abonos!$A$2:$A$5000,Abonos!$B$2:$B$5000,F114)),""))</f>
        <v/>
      </c>
      <c r="T114">
        <f>IF(F114="","",IF(AND(G114='Ruta de hoy'!$B$4,N(D114)&gt;0),COUNTIFS($G$2:G114,'Ruta de hoy'!$B$4,$D$2:D114,"&gt;0"),""))</f>
        <v/>
      </c>
    </row>
    <row r="115">
      <c r="D115" s="3">
        <f>IF(F115="","",MAX(0,M115-N115))</f>
        <v/>
      </c>
      <c r="H115" s="4" t="n"/>
      <c r="I115" s="3" t="n"/>
      <c r="J115" s="3" t="n"/>
      <c r="M115" s="3">
        <f>IF(F115="","",J115*K115)</f>
        <v/>
      </c>
      <c r="N115" s="3">
        <f>IF(F115="","",SUMIF(Abonos!$B$2:$B$5000,F115,Abonos!$C$2:$C$5000))</f>
        <v/>
      </c>
      <c r="O115">
        <f>IF(F115="","",MIN(K115,IF(TODAY()&lt;=H115,0,IF(L115="sí",TODAY()-H115,NETWORKDAYS.INTL(H115+1,TODAY(),11)))))</f>
        <v/>
      </c>
      <c r="P115" s="3">
        <f>IF(F115="","",O115*J115)</f>
        <v/>
      </c>
      <c r="Q115" s="3">
        <f>IF(F115="","",MAX(0,P115-N115))</f>
        <v/>
      </c>
      <c r="R115">
        <f>IF(F115="","",IF(N(J115)=0,0,ROUNDUP(Q115/J115,0)))</f>
        <v/>
      </c>
      <c r="S115" s="4">
        <f>IF(F115="","",IFERROR(1/(1/_xlfn.MAXIFS(Abonos!$A$2:$A$5000,Abonos!$B$2:$B$5000,F115)),""))</f>
        <v/>
      </c>
      <c r="T115">
        <f>IF(F115="","",IF(AND(G115='Ruta de hoy'!$B$4,N(D115)&gt;0),COUNTIFS($G$2:G115,'Ruta de hoy'!$B$4,$D$2:D115,"&gt;0"),""))</f>
        <v/>
      </c>
    </row>
    <row r="116">
      <c r="D116" s="3">
        <f>IF(F116="","",MAX(0,M116-N116))</f>
        <v/>
      </c>
      <c r="H116" s="4" t="n"/>
      <c r="I116" s="3" t="n"/>
      <c r="J116" s="3" t="n"/>
      <c r="M116" s="3">
        <f>IF(F116="","",J116*K116)</f>
        <v/>
      </c>
      <c r="N116" s="3">
        <f>IF(F116="","",SUMIF(Abonos!$B$2:$B$5000,F116,Abonos!$C$2:$C$5000))</f>
        <v/>
      </c>
      <c r="O116">
        <f>IF(F116="","",MIN(K116,IF(TODAY()&lt;=H116,0,IF(L116="sí",TODAY()-H116,NETWORKDAYS.INTL(H116+1,TODAY(),11)))))</f>
        <v/>
      </c>
      <c r="P116" s="3">
        <f>IF(F116="","",O116*J116)</f>
        <v/>
      </c>
      <c r="Q116" s="3">
        <f>IF(F116="","",MAX(0,P116-N116))</f>
        <v/>
      </c>
      <c r="R116">
        <f>IF(F116="","",IF(N(J116)=0,0,ROUNDUP(Q116/J116,0)))</f>
        <v/>
      </c>
      <c r="S116" s="4">
        <f>IF(F116="","",IFERROR(1/(1/_xlfn.MAXIFS(Abonos!$A$2:$A$5000,Abonos!$B$2:$B$5000,F116)),""))</f>
        <v/>
      </c>
      <c r="T116">
        <f>IF(F116="","",IF(AND(G116='Ruta de hoy'!$B$4,N(D116)&gt;0),COUNTIFS($G$2:G116,'Ruta de hoy'!$B$4,$D$2:D116,"&gt;0"),""))</f>
        <v/>
      </c>
    </row>
    <row r="117">
      <c r="D117" s="3">
        <f>IF(F117="","",MAX(0,M117-N117))</f>
        <v/>
      </c>
      <c r="H117" s="4" t="n"/>
      <c r="I117" s="3" t="n"/>
      <c r="J117" s="3" t="n"/>
      <c r="M117" s="3">
        <f>IF(F117="","",J117*K117)</f>
        <v/>
      </c>
      <c r="N117" s="3">
        <f>IF(F117="","",SUMIF(Abonos!$B$2:$B$5000,F117,Abonos!$C$2:$C$5000))</f>
        <v/>
      </c>
      <c r="O117">
        <f>IF(F117="","",MIN(K117,IF(TODAY()&lt;=H117,0,IF(L117="sí",TODAY()-H117,NETWORKDAYS.INTL(H117+1,TODAY(),11)))))</f>
        <v/>
      </c>
      <c r="P117" s="3">
        <f>IF(F117="","",O117*J117)</f>
        <v/>
      </c>
      <c r="Q117" s="3">
        <f>IF(F117="","",MAX(0,P117-N117))</f>
        <v/>
      </c>
      <c r="R117">
        <f>IF(F117="","",IF(N(J117)=0,0,ROUNDUP(Q117/J117,0)))</f>
        <v/>
      </c>
      <c r="S117" s="4">
        <f>IF(F117="","",IFERROR(1/(1/_xlfn.MAXIFS(Abonos!$A$2:$A$5000,Abonos!$B$2:$B$5000,F117)),""))</f>
        <v/>
      </c>
      <c r="T117">
        <f>IF(F117="","",IF(AND(G117='Ruta de hoy'!$B$4,N(D117)&gt;0),COUNTIFS($G$2:G117,'Ruta de hoy'!$B$4,$D$2:D117,"&gt;0"),""))</f>
        <v/>
      </c>
    </row>
    <row r="118">
      <c r="D118" s="3">
        <f>IF(F118="","",MAX(0,M118-N118))</f>
        <v/>
      </c>
      <c r="H118" s="4" t="n"/>
      <c r="I118" s="3" t="n"/>
      <c r="J118" s="3" t="n"/>
      <c r="M118" s="3">
        <f>IF(F118="","",J118*K118)</f>
        <v/>
      </c>
      <c r="N118" s="3">
        <f>IF(F118="","",SUMIF(Abonos!$B$2:$B$5000,F118,Abonos!$C$2:$C$5000))</f>
        <v/>
      </c>
      <c r="O118">
        <f>IF(F118="","",MIN(K118,IF(TODAY()&lt;=H118,0,IF(L118="sí",TODAY()-H118,NETWORKDAYS.INTL(H118+1,TODAY(),11)))))</f>
        <v/>
      </c>
      <c r="P118" s="3">
        <f>IF(F118="","",O118*J118)</f>
        <v/>
      </c>
      <c r="Q118" s="3">
        <f>IF(F118="","",MAX(0,P118-N118))</f>
        <v/>
      </c>
      <c r="R118">
        <f>IF(F118="","",IF(N(J118)=0,0,ROUNDUP(Q118/J118,0)))</f>
        <v/>
      </c>
      <c r="S118" s="4">
        <f>IF(F118="","",IFERROR(1/(1/_xlfn.MAXIFS(Abonos!$A$2:$A$5000,Abonos!$B$2:$B$5000,F118)),""))</f>
        <v/>
      </c>
      <c r="T118">
        <f>IF(F118="","",IF(AND(G118='Ruta de hoy'!$B$4,N(D118)&gt;0),COUNTIFS($G$2:G118,'Ruta de hoy'!$B$4,$D$2:D118,"&gt;0"),""))</f>
        <v/>
      </c>
    </row>
    <row r="119">
      <c r="D119" s="3">
        <f>IF(F119="","",MAX(0,M119-N119))</f>
        <v/>
      </c>
      <c r="H119" s="4" t="n"/>
      <c r="I119" s="3" t="n"/>
      <c r="J119" s="3" t="n"/>
      <c r="M119" s="3">
        <f>IF(F119="","",J119*K119)</f>
        <v/>
      </c>
      <c r="N119" s="3">
        <f>IF(F119="","",SUMIF(Abonos!$B$2:$B$5000,F119,Abonos!$C$2:$C$5000))</f>
        <v/>
      </c>
      <c r="O119">
        <f>IF(F119="","",MIN(K119,IF(TODAY()&lt;=H119,0,IF(L119="sí",TODAY()-H119,NETWORKDAYS.INTL(H119+1,TODAY(),11)))))</f>
        <v/>
      </c>
      <c r="P119" s="3">
        <f>IF(F119="","",O119*J119)</f>
        <v/>
      </c>
      <c r="Q119" s="3">
        <f>IF(F119="","",MAX(0,P119-N119))</f>
        <v/>
      </c>
      <c r="R119">
        <f>IF(F119="","",IF(N(J119)=0,0,ROUNDUP(Q119/J119,0)))</f>
        <v/>
      </c>
      <c r="S119" s="4">
        <f>IF(F119="","",IFERROR(1/(1/_xlfn.MAXIFS(Abonos!$A$2:$A$5000,Abonos!$B$2:$B$5000,F119)),""))</f>
        <v/>
      </c>
      <c r="T119">
        <f>IF(F119="","",IF(AND(G119='Ruta de hoy'!$B$4,N(D119)&gt;0),COUNTIFS($G$2:G119,'Ruta de hoy'!$B$4,$D$2:D119,"&gt;0"),""))</f>
        <v/>
      </c>
    </row>
    <row r="120">
      <c r="D120" s="3">
        <f>IF(F120="","",MAX(0,M120-N120))</f>
        <v/>
      </c>
      <c r="H120" s="4" t="n"/>
      <c r="I120" s="3" t="n"/>
      <c r="J120" s="3" t="n"/>
      <c r="M120" s="3">
        <f>IF(F120="","",J120*K120)</f>
        <v/>
      </c>
      <c r="N120" s="3">
        <f>IF(F120="","",SUMIF(Abonos!$B$2:$B$5000,F120,Abonos!$C$2:$C$5000))</f>
        <v/>
      </c>
      <c r="O120">
        <f>IF(F120="","",MIN(K120,IF(TODAY()&lt;=H120,0,IF(L120="sí",TODAY()-H120,NETWORKDAYS.INTL(H120+1,TODAY(),11)))))</f>
        <v/>
      </c>
      <c r="P120" s="3">
        <f>IF(F120="","",O120*J120)</f>
        <v/>
      </c>
      <c r="Q120" s="3">
        <f>IF(F120="","",MAX(0,P120-N120))</f>
        <v/>
      </c>
      <c r="R120">
        <f>IF(F120="","",IF(N(J120)=0,0,ROUNDUP(Q120/J120,0)))</f>
        <v/>
      </c>
      <c r="S120" s="4">
        <f>IF(F120="","",IFERROR(1/(1/_xlfn.MAXIFS(Abonos!$A$2:$A$5000,Abonos!$B$2:$B$5000,F120)),""))</f>
        <v/>
      </c>
      <c r="T120">
        <f>IF(F120="","",IF(AND(G120='Ruta de hoy'!$B$4,N(D120)&gt;0),COUNTIFS($G$2:G120,'Ruta de hoy'!$B$4,$D$2:D120,"&gt;0"),""))</f>
        <v/>
      </c>
    </row>
    <row r="121">
      <c r="D121" s="3">
        <f>IF(F121="","",MAX(0,M121-N121))</f>
        <v/>
      </c>
      <c r="H121" s="4" t="n"/>
      <c r="I121" s="3" t="n"/>
      <c r="J121" s="3" t="n"/>
      <c r="M121" s="3">
        <f>IF(F121="","",J121*K121)</f>
        <v/>
      </c>
      <c r="N121" s="3">
        <f>IF(F121="","",SUMIF(Abonos!$B$2:$B$5000,F121,Abonos!$C$2:$C$5000))</f>
        <v/>
      </c>
      <c r="O121">
        <f>IF(F121="","",MIN(K121,IF(TODAY()&lt;=H121,0,IF(L121="sí",TODAY()-H121,NETWORKDAYS.INTL(H121+1,TODAY(),11)))))</f>
        <v/>
      </c>
      <c r="P121" s="3">
        <f>IF(F121="","",O121*J121)</f>
        <v/>
      </c>
      <c r="Q121" s="3">
        <f>IF(F121="","",MAX(0,P121-N121))</f>
        <v/>
      </c>
      <c r="R121">
        <f>IF(F121="","",IF(N(J121)=0,0,ROUNDUP(Q121/J121,0)))</f>
        <v/>
      </c>
      <c r="S121" s="4">
        <f>IF(F121="","",IFERROR(1/(1/_xlfn.MAXIFS(Abonos!$A$2:$A$5000,Abonos!$B$2:$B$5000,F121)),""))</f>
        <v/>
      </c>
      <c r="T121">
        <f>IF(F121="","",IF(AND(G121='Ruta de hoy'!$B$4,N(D121)&gt;0),COUNTIFS($G$2:G121,'Ruta de hoy'!$B$4,$D$2:D121,"&gt;0"),""))</f>
        <v/>
      </c>
    </row>
    <row r="122">
      <c r="D122" s="3">
        <f>IF(F122="","",MAX(0,M122-N122))</f>
        <v/>
      </c>
      <c r="H122" s="4" t="n"/>
      <c r="I122" s="3" t="n"/>
      <c r="J122" s="3" t="n"/>
      <c r="M122" s="3">
        <f>IF(F122="","",J122*K122)</f>
        <v/>
      </c>
      <c r="N122" s="3">
        <f>IF(F122="","",SUMIF(Abonos!$B$2:$B$5000,F122,Abonos!$C$2:$C$5000))</f>
        <v/>
      </c>
      <c r="O122">
        <f>IF(F122="","",MIN(K122,IF(TODAY()&lt;=H122,0,IF(L122="sí",TODAY()-H122,NETWORKDAYS.INTL(H122+1,TODAY(),11)))))</f>
        <v/>
      </c>
      <c r="P122" s="3">
        <f>IF(F122="","",O122*J122)</f>
        <v/>
      </c>
      <c r="Q122" s="3">
        <f>IF(F122="","",MAX(0,P122-N122))</f>
        <v/>
      </c>
      <c r="R122">
        <f>IF(F122="","",IF(N(J122)=0,0,ROUNDUP(Q122/J122,0)))</f>
        <v/>
      </c>
      <c r="S122" s="4">
        <f>IF(F122="","",IFERROR(1/(1/_xlfn.MAXIFS(Abonos!$A$2:$A$5000,Abonos!$B$2:$B$5000,F122)),""))</f>
        <v/>
      </c>
      <c r="T122">
        <f>IF(F122="","",IF(AND(G122='Ruta de hoy'!$B$4,N(D122)&gt;0),COUNTIFS($G$2:G122,'Ruta de hoy'!$B$4,$D$2:D122,"&gt;0"),""))</f>
        <v/>
      </c>
    </row>
    <row r="123">
      <c r="D123" s="3">
        <f>IF(F123="","",MAX(0,M123-N123))</f>
        <v/>
      </c>
      <c r="H123" s="4" t="n"/>
      <c r="I123" s="3" t="n"/>
      <c r="J123" s="3" t="n"/>
      <c r="M123" s="3">
        <f>IF(F123="","",J123*K123)</f>
        <v/>
      </c>
      <c r="N123" s="3">
        <f>IF(F123="","",SUMIF(Abonos!$B$2:$B$5000,F123,Abonos!$C$2:$C$5000))</f>
        <v/>
      </c>
      <c r="O123">
        <f>IF(F123="","",MIN(K123,IF(TODAY()&lt;=H123,0,IF(L123="sí",TODAY()-H123,NETWORKDAYS.INTL(H123+1,TODAY(),11)))))</f>
        <v/>
      </c>
      <c r="P123" s="3">
        <f>IF(F123="","",O123*J123)</f>
        <v/>
      </c>
      <c r="Q123" s="3">
        <f>IF(F123="","",MAX(0,P123-N123))</f>
        <v/>
      </c>
      <c r="R123">
        <f>IF(F123="","",IF(N(J123)=0,0,ROUNDUP(Q123/J123,0)))</f>
        <v/>
      </c>
      <c r="S123" s="4">
        <f>IF(F123="","",IFERROR(1/(1/_xlfn.MAXIFS(Abonos!$A$2:$A$5000,Abonos!$B$2:$B$5000,F123)),""))</f>
        <v/>
      </c>
      <c r="T123">
        <f>IF(F123="","",IF(AND(G123='Ruta de hoy'!$B$4,N(D123)&gt;0),COUNTIFS($G$2:G123,'Ruta de hoy'!$B$4,$D$2:D123,"&gt;0"),""))</f>
        <v/>
      </c>
    </row>
    <row r="124">
      <c r="D124" s="3">
        <f>IF(F124="","",MAX(0,M124-N124))</f>
        <v/>
      </c>
      <c r="H124" s="4" t="n"/>
      <c r="I124" s="3" t="n"/>
      <c r="J124" s="3" t="n"/>
      <c r="M124" s="3">
        <f>IF(F124="","",J124*K124)</f>
        <v/>
      </c>
      <c r="N124" s="3">
        <f>IF(F124="","",SUMIF(Abonos!$B$2:$B$5000,F124,Abonos!$C$2:$C$5000))</f>
        <v/>
      </c>
      <c r="O124">
        <f>IF(F124="","",MIN(K124,IF(TODAY()&lt;=H124,0,IF(L124="sí",TODAY()-H124,NETWORKDAYS.INTL(H124+1,TODAY(),11)))))</f>
        <v/>
      </c>
      <c r="P124" s="3">
        <f>IF(F124="","",O124*J124)</f>
        <v/>
      </c>
      <c r="Q124" s="3">
        <f>IF(F124="","",MAX(0,P124-N124))</f>
        <v/>
      </c>
      <c r="R124">
        <f>IF(F124="","",IF(N(J124)=0,0,ROUNDUP(Q124/J124,0)))</f>
        <v/>
      </c>
      <c r="S124" s="4">
        <f>IF(F124="","",IFERROR(1/(1/_xlfn.MAXIFS(Abonos!$A$2:$A$5000,Abonos!$B$2:$B$5000,F124)),""))</f>
        <v/>
      </c>
      <c r="T124">
        <f>IF(F124="","",IF(AND(G124='Ruta de hoy'!$B$4,N(D124)&gt;0),COUNTIFS($G$2:G124,'Ruta de hoy'!$B$4,$D$2:D124,"&gt;0"),""))</f>
        <v/>
      </c>
    </row>
    <row r="125">
      <c r="D125" s="3">
        <f>IF(F125="","",MAX(0,M125-N125))</f>
        <v/>
      </c>
      <c r="H125" s="4" t="n"/>
      <c r="I125" s="3" t="n"/>
      <c r="J125" s="3" t="n"/>
      <c r="M125" s="3">
        <f>IF(F125="","",J125*K125)</f>
        <v/>
      </c>
      <c r="N125" s="3">
        <f>IF(F125="","",SUMIF(Abonos!$B$2:$B$5000,F125,Abonos!$C$2:$C$5000))</f>
        <v/>
      </c>
      <c r="O125">
        <f>IF(F125="","",MIN(K125,IF(TODAY()&lt;=H125,0,IF(L125="sí",TODAY()-H125,NETWORKDAYS.INTL(H125+1,TODAY(),11)))))</f>
        <v/>
      </c>
      <c r="P125" s="3">
        <f>IF(F125="","",O125*J125)</f>
        <v/>
      </c>
      <c r="Q125" s="3">
        <f>IF(F125="","",MAX(0,P125-N125))</f>
        <v/>
      </c>
      <c r="R125">
        <f>IF(F125="","",IF(N(J125)=0,0,ROUNDUP(Q125/J125,0)))</f>
        <v/>
      </c>
      <c r="S125" s="4">
        <f>IF(F125="","",IFERROR(1/(1/_xlfn.MAXIFS(Abonos!$A$2:$A$5000,Abonos!$B$2:$B$5000,F125)),""))</f>
        <v/>
      </c>
      <c r="T125">
        <f>IF(F125="","",IF(AND(G125='Ruta de hoy'!$B$4,N(D125)&gt;0),COUNTIFS($G$2:G125,'Ruta de hoy'!$B$4,$D$2:D125,"&gt;0"),""))</f>
        <v/>
      </c>
    </row>
    <row r="126">
      <c r="D126" s="3">
        <f>IF(F126="","",MAX(0,M126-N126))</f>
        <v/>
      </c>
      <c r="H126" s="4" t="n"/>
      <c r="I126" s="3" t="n"/>
      <c r="J126" s="3" t="n"/>
      <c r="M126" s="3">
        <f>IF(F126="","",J126*K126)</f>
        <v/>
      </c>
      <c r="N126" s="3">
        <f>IF(F126="","",SUMIF(Abonos!$B$2:$B$5000,F126,Abonos!$C$2:$C$5000))</f>
        <v/>
      </c>
      <c r="O126">
        <f>IF(F126="","",MIN(K126,IF(TODAY()&lt;=H126,0,IF(L126="sí",TODAY()-H126,NETWORKDAYS.INTL(H126+1,TODAY(),11)))))</f>
        <v/>
      </c>
      <c r="P126" s="3">
        <f>IF(F126="","",O126*J126)</f>
        <v/>
      </c>
      <c r="Q126" s="3">
        <f>IF(F126="","",MAX(0,P126-N126))</f>
        <v/>
      </c>
      <c r="R126">
        <f>IF(F126="","",IF(N(J126)=0,0,ROUNDUP(Q126/J126,0)))</f>
        <v/>
      </c>
      <c r="S126" s="4">
        <f>IF(F126="","",IFERROR(1/(1/_xlfn.MAXIFS(Abonos!$A$2:$A$5000,Abonos!$B$2:$B$5000,F126)),""))</f>
        <v/>
      </c>
      <c r="T126">
        <f>IF(F126="","",IF(AND(G126='Ruta de hoy'!$B$4,N(D126)&gt;0),COUNTIFS($G$2:G126,'Ruta de hoy'!$B$4,$D$2:D126,"&gt;0"),""))</f>
        <v/>
      </c>
    </row>
    <row r="127">
      <c r="D127" s="3">
        <f>IF(F127="","",MAX(0,M127-N127))</f>
        <v/>
      </c>
      <c r="H127" s="4" t="n"/>
      <c r="I127" s="3" t="n"/>
      <c r="J127" s="3" t="n"/>
      <c r="M127" s="3">
        <f>IF(F127="","",J127*K127)</f>
        <v/>
      </c>
      <c r="N127" s="3">
        <f>IF(F127="","",SUMIF(Abonos!$B$2:$B$5000,F127,Abonos!$C$2:$C$5000))</f>
        <v/>
      </c>
      <c r="O127">
        <f>IF(F127="","",MIN(K127,IF(TODAY()&lt;=H127,0,IF(L127="sí",TODAY()-H127,NETWORKDAYS.INTL(H127+1,TODAY(),11)))))</f>
        <v/>
      </c>
      <c r="P127" s="3">
        <f>IF(F127="","",O127*J127)</f>
        <v/>
      </c>
      <c r="Q127" s="3">
        <f>IF(F127="","",MAX(0,P127-N127))</f>
        <v/>
      </c>
      <c r="R127">
        <f>IF(F127="","",IF(N(J127)=0,0,ROUNDUP(Q127/J127,0)))</f>
        <v/>
      </c>
      <c r="S127" s="4">
        <f>IF(F127="","",IFERROR(1/(1/_xlfn.MAXIFS(Abonos!$A$2:$A$5000,Abonos!$B$2:$B$5000,F127)),""))</f>
        <v/>
      </c>
      <c r="T127">
        <f>IF(F127="","",IF(AND(G127='Ruta de hoy'!$B$4,N(D127)&gt;0),COUNTIFS($G$2:G127,'Ruta de hoy'!$B$4,$D$2:D127,"&gt;0"),""))</f>
        <v/>
      </c>
    </row>
    <row r="128">
      <c r="D128" s="3">
        <f>IF(F128="","",MAX(0,M128-N128))</f>
        <v/>
      </c>
      <c r="H128" s="4" t="n"/>
      <c r="I128" s="3" t="n"/>
      <c r="J128" s="3" t="n"/>
      <c r="M128" s="3">
        <f>IF(F128="","",J128*K128)</f>
        <v/>
      </c>
      <c r="N128" s="3">
        <f>IF(F128="","",SUMIF(Abonos!$B$2:$B$5000,F128,Abonos!$C$2:$C$5000))</f>
        <v/>
      </c>
      <c r="O128">
        <f>IF(F128="","",MIN(K128,IF(TODAY()&lt;=H128,0,IF(L128="sí",TODAY()-H128,NETWORKDAYS.INTL(H128+1,TODAY(),11)))))</f>
        <v/>
      </c>
      <c r="P128" s="3">
        <f>IF(F128="","",O128*J128)</f>
        <v/>
      </c>
      <c r="Q128" s="3">
        <f>IF(F128="","",MAX(0,P128-N128))</f>
        <v/>
      </c>
      <c r="R128">
        <f>IF(F128="","",IF(N(J128)=0,0,ROUNDUP(Q128/J128,0)))</f>
        <v/>
      </c>
      <c r="S128" s="4">
        <f>IF(F128="","",IFERROR(1/(1/_xlfn.MAXIFS(Abonos!$A$2:$A$5000,Abonos!$B$2:$B$5000,F128)),""))</f>
        <v/>
      </c>
      <c r="T128">
        <f>IF(F128="","",IF(AND(G128='Ruta de hoy'!$B$4,N(D128)&gt;0),COUNTIFS($G$2:G128,'Ruta de hoy'!$B$4,$D$2:D128,"&gt;0"),""))</f>
        <v/>
      </c>
    </row>
    <row r="129">
      <c r="D129" s="3">
        <f>IF(F129="","",MAX(0,M129-N129))</f>
        <v/>
      </c>
      <c r="H129" s="4" t="n"/>
      <c r="I129" s="3" t="n"/>
      <c r="J129" s="3" t="n"/>
      <c r="M129" s="3">
        <f>IF(F129="","",J129*K129)</f>
        <v/>
      </c>
      <c r="N129" s="3">
        <f>IF(F129="","",SUMIF(Abonos!$B$2:$B$5000,F129,Abonos!$C$2:$C$5000))</f>
        <v/>
      </c>
      <c r="O129">
        <f>IF(F129="","",MIN(K129,IF(TODAY()&lt;=H129,0,IF(L129="sí",TODAY()-H129,NETWORKDAYS.INTL(H129+1,TODAY(),11)))))</f>
        <v/>
      </c>
      <c r="P129" s="3">
        <f>IF(F129="","",O129*J129)</f>
        <v/>
      </c>
      <c r="Q129" s="3">
        <f>IF(F129="","",MAX(0,P129-N129))</f>
        <v/>
      </c>
      <c r="R129">
        <f>IF(F129="","",IF(N(J129)=0,0,ROUNDUP(Q129/J129,0)))</f>
        <v/>
      </c>
      <c r="S129" s="4">
        <f>IF(F129="","",IFERROR(1/(1/_xlfn.MAXIFS(Abonos!$A$2:$A$5000,Abonos!$B$2:$B$5000,F129)),""))</f>
        <v/>
      </c>
      <c r="T129">
        <f>IF(F129="","",IF(AND(G129='Ruta de hoy'!$B$4,N(D129)&gt;0),COUNTIFS($G$2:G129,'Ruta de hoy'!$B$4,$D$2:D129,"&gt;0"),""))</f>
        <v/>
      </c>
    </row>
    <row r="130">
      <c r="D130" s="3">
        <f>IF(F130="","",MAX(0,M130-N130))</f>
        <v/>
      </c>
      <c r="H130" s="4" t="n"/>
      <c r="I130" s="3" t="n"/>
      <c r="J130" s="3" t="n"/>
      <c r="M130" s="3">
        <f>IF(F130="","",J130*K130)</f>
        <v/>
      </c>
      <c r="N130" s="3">
        <f>IF(F130="","",SUMIF(Abonos!$B$2:$B$5000,F130,Abonos!$C$2:$C$5000))</f>
        <v/>
      </c>
      <c r="O130">
        <f>IF(F130="","",MIN(K130,IF(TODAY()&lt;=H130,0,IF(L130="sí",TODAY()-H130,NETWORKDAYS.INTL(H130+1,TODAY(),11)))))</f>
        <v/>
      </c>
      <c r="P130" s="3">
        <f>IF(F130="","",O130*J130)</f>
        <v/>
      </c>
      <c r="Q130" s="3">
        <f>IF(F130="","",MAX(0,P130-N130))</f>
        <v/>
      </c>
      <c r="R130">
        <f>IF(F130="","",IF(N(J130)=0,0,ROUNDUP(Q130/J130,0)))</f>
        <v/>
      </c>
      <c r="S130" s="4">
        <f>IF(F130="","",IFERROR(1/(1/_xlfn.MAXIFS(Abonos!$A$2:$A$5000,Abonos!$B$2:$B$5000,F130)),""))</f>
        <v/>
      </c>
      <c r="T130">
        <f>IF(F130="","",IF(AND(G130='Ruta de hoy'!$B$4,N(D130)&gt;0),COUNTIFS($G$2:G130,'Ruta de hoy'!$B$4,$D$2:D130,"&gt;0"),""))</f>
        <v/>
      </c>
    </row>
    <row r="131">
      <c r="D131" s="3">
        <f>IF(F131="","",MAX(0,M131-N131))</f>
        <v/>
      </c>
      <c r="H131" s="4" t="n"/>
      <c r="I131" s="3" t="n"/>
      <c r="J131" s="3" t="n"/>
      <c r="M131" s="3">
        <f>IF(F131="","",J131*K131)</f>
        <v/>
      </c>
      <c r="N131" s="3">
        <f>IF(F131="","",SUMIF(Abonos!$B$2:$B$5000,F131,Abonos!$C$2:$C$5000))</f>
        <v/>
      </c>
      <c r="O131">
        <f>IF(F131="","",MIN(K131,IF(TODAY()&lt;=H131,0,IF(L131="sí",TODAY()-H131,NETWORKDAYS.INTL(H131+1,TODAY(),11)))))</f>
        <v/>
      </c>
      <c r="P131" s="3">
        <f>IF(F131="","",O131*J131)</f>
        <v/>
      </c>
      <c r="Q131" s="3">
        <f>IF(F131="","",MAX(0,P131-N131))</f>
        <v/>
      </c>
      <c r="R131">
        <f>IF(F131="","",IF(N(J131)=0,0,ROUNDUP(Q131/J131,0)))</f>
        <v/>
      </c>
      <c r="S131" s="4">
        <f>IF(F131="","",IFERROR(1/(1/_xlfn.MAXIFS(Abonos!$A$2:$A$5000,Abonos!$B$2:$B$5000,F131)),""))</f>
        <v/>
      </c>
      <c r="T131">
        <f>IF(F131="","",IF(AND(G131='Ruta de hoy'!$B$4,N(D131)&gt;0),COUNTIFS($G$2:G131,'Ruta de hoy'!$B$4,$D$2:D131,"&gt;0"),""))</f>
        <v/>
      </c>
    </row>
    <row r="132">
      <c r="D132" s="3">
        <f>IF(F132="","",MAX(0,M132-N132))</f>
        <v/>
      </c>
      <c r="H132" s="4" t="n"/>
      <c r="I132" s="3" t="n"/>
      <c r="J132" s="3" t="n"/>
      <c r="M132" s="3">
        <f>IF(F132="","",J132*K132)</f>
        <v/>
      </c>
      <c r="N132" s="3">
        <f>IF(F132="","",SUMIF(Abonos!$B$2:$B$5000,F132,Abonos!$C$2:$C$5000))</f>
        <v/>
      </c>
      <c r="O132">
        <f>IF(F132="","",MIN(K132,IF(TODAY()&lt;=H132,0,IF(L132="sí",TODAY()-H132,NETWORKDAYS.INTL(H132+1,TODAY(),11)))))</f>
        <v/>
      </c>
      <c r="P132" s="3">
        <f>IF(F132="","",O132*J132)</f>
        <v/>
      </c>
      <c r="Q132" s="3">
        <f>IF(F132="","",MAX(0,P132-N132))</f>
        <v/>
      </c>
      <c r="R132">
        <f>IF(F132="","",IF(N(J132)=0,0,ROUNDUP(Q132/J132,0)))</f>
        <v/>
      </c>
      <c r="S132" s="4">
        <f>IF(F132="","",IFERROR(1/(1/_xlfn.MAXIFS(Abonos!$A$2:$A$5000,Abonos!$B$2:$B$5000,F132)),""))</f>
        <v/>
      </c>
      <c r="T132">
        <f>IF(F132="","",IF(AND(G132='Ruta de hoy'!$B$4,N(D132)&gt;0),COUNTIFS($G$2:G132,'Ruta de hoy'!$B$4,$D$2:D132,"&gt;0"),""))</f>
        <v/>
      </c>
    </row>
    <row r="133">
      <c r="D133" s="3">
        <f>IF(F133="","",MAX(0,M133-N133))</f>
        <v/>
      </c>
      <c r="H133" s="4" t="n"/>
      <c r="I133" s="3" t="n"/>
      <c r="J133" s="3" t="n"/>
      <c r="M133" s="3">
        <f>IF(F133="","",J133*K133)</f>
        <v/>
      </c>
      <c r="N133" s="3">
        <f>IF(F133="","",SUMIF(Abonos!$B$2:$B$5000,F133,Abonos!$C$2:$C$5000))</f>
        <v/>
      </c>
      <c r="O133">
        <f>IF(F133="","",MIN(K133,IF(TODAY()&lt;=H133,0,IF(L133="sí",TODAY()-H133,NETWORKDAYS.INTL(H133+1,TODAY(),11)))))</f>
        <v/>
      </c>
      <c r="P133" s="3">
        <f>IF(F133="","",O133*J133)</f>
        <v/>
      </c>
      <c r="Q133" s="3">
        <f>IF(F133="","",MAX(0,P133-N133))</f>
        <v/>
      </c>
      <c r="R133">
        <f>IF(F133="","",IF(N(J133)=0,0,ROUNDUP(Q133/J133,0)))</f>
        <v/>
      </c>
      <c r="S133" s="4">
        <f>IF(F133="","",IFERROR(1/(1/_xlfn.MAXIFS(Abonos!$A$2:$A$5000,Abonos!$B$2:$B$5000,F133)),""))</f>
        <v/>
      </c>
      <c r="T133">
        <f>IF(F133="","",IF(AND(G133='Ruta de hoy'!$B$4,N(D133)&gt;0),COUNTIFS($G$2:G133,'Ruta de hoy'!$B$4,$D$2:D133,"&gt;0"),""))</f>
        <v/>
      </c>
    </row>
    <row r="134">
      <c r="D134" s="3">
        <f>IF(F134="","",MAX(0,M134-N134))</f>
        <v/>
      </c>
      <c r="H134" s="4" t="n"/>
      <c r="I134" s="3" t="n"/>
      <c r="J134" s="3" t="n"/>
      <c r="M134" s="3">
        <f>IF(F134="","",J134*K134)</f>
        <v/>
      </c>
      <c r="N134" s="3">
        <f>IF(F134="","",SUMIF(Abonos!$B$2:$B$5000,F134,Abonos!$C$2:$C$5000))</f>
        <v/>
      </c>
      <c r="O134">
        <f>IF(F134="","",MIN(K134,IF(TODAY()&lt;=H134,0,IF(L134="sí",TODAY()-H134,NETWORKDAYS.INTL(H134+1,TODAY(),11)))))</f>
        <v/>
      </c>
      <c r="P134" s="3">
        <f>IF(F134="","",O134*J134)</f>
        <v/>
      </c>
      <c r="Q134" s="3">
        <f>IF(F134="","",MAX(0,P134-N134))</f>
        <v/>
      </c>
      <c r="R134">
        <f>IF(F134="","",IF(N(J134)=0,0,ROUNDUP(Q134/J134,0)))</f>
        <v/>
      </c>
      <c r="S134" s="4">
        <f>IF(F134="","",IFERROR(1/(1/_xlfn.MAXIFS(Abonos!$A$2:$A$5000,Abonos!$B$2:$B$5000,F134)),""))</f>
        <v/>
      </c>
      <c r="T134">
        <f>IF(F134="","",IF(AND(G134='Ruta de hoy'!$B$4,N(D134)&gt;0),COUNTIFS($G$2:G134,'Ruta de hoy'!$B$4,$D$2:D134,"&gt;0"),""))</f>
        <v/>
      </c>
    </row>
    <row r="135">
      <c r="D135" s="3">
        <f>IF(F135="","",MAX(0,M135-N135))</f>
        <v/>
      </c>
      <c r="H135" s="4" t="n"/>
      <c r="I135" s="3" t="n"/>
      <c r="J135" s="3" t="n"/>
      <c r="M135" s="3">
        <f>IF(F135="","",J135*K135)</f>
        <v/>
      </c>
      <c r="N135" s="3">
        <f>IF(F135="","",SUMIF(Abonos!$B$2:$B$5000,F135,Abonos!$C$2:$C$5000))</f>
        <v/>
      </c>
      <c r="O135">
        <f>IF(F135="","",MIN(K135,IF(TODAY()&lt;=H135,0,IF(L135="sí",TODAY()-H135,NETWORKDAYS.INTL(H135+1,TODAY(),11)))))</f>
        <v/>
      </c>
      <c r="P135" s="3">
        <f>IF(F135="","",O135*J135)</f>
        <v/>
      </c>
      <c r="Q135" s="3">
        <f>IF(F135="","",MAX(0,P135-N135))</f>
        <v/>
      </c>
      <c r="R135">
        <f>IF(F135="","",IF(N(J135)=0,0,ROUNDUP(Q135/J135,0)))</f>
        <v/>
      </c>
      <c r="S135" s="4">
        <f>IF(F135="","",IFERROR(1/(1/_xlfn.MAXIFS(Abonos!$A$2:$A$5000,Abonos!$B$2:$B$5000,F135)),""))</f>
        <v/>
      </c>
      <c r="T135">
        <f>IF(F135="","",IF(AND(G135='Ruta de hoy'!$B$4,N(D135)&gt;0),COUNTIFS($G$2:G135,'Ruta de hoy'!$B$4,$D$2:D135,"&gt;0"),""))</f>
        <v/>
      </c>
    </row>
    <row r="136">
      <c r="D136" s="3">
        <f>IF(F136="","",MAX(0,M136-N136))</f>
        <v/>
      </c>
      <c r="H136" s="4" t="n"/>
      <c r="I136" s="3" t="n"/>
      <c r="J136" s="3" t="n"/>
      <c r="M136" s="3">
        <f>IF(F136="","",J136*K136)</f>
        <v/>
      </c>
      <c r="N136" s="3">
        <f>IF(F136="","",SUMIF(Abonos!$B$2:$B$5000,F136,Abonos!$C$2:$C$5000))</f>
        <v/>
      </c>
      <c r="O136">
        <f>IF(F136="","",MIN(K136,IF(TODAY()&lt;=H136,0,IF(L136="sí",TODAY()-H136,NETWORKDAYS.INTL(H136+1,TODAY(),11)))))</f>
        <v/>
      </c>
      <c r="P136" s="3">
        <f>IF(F136="","",O136*J136)</f>
        <v/>
      </c>
      <c r="Q136" s="3">
        <f>IF(F136="","",MAX(0,P136-N136))</f>
        <v/>
      </c>
      <c r="R136">
        <f>IF(F136="","",IF(N(J136)=0,0,ROUNDUP(Q136/J136,0)))</f>
        <v/>
      </c>
      <c r="S136" s="4">
        <f>IF(F136="","",IFERROR(1/(1/_xlfn.MAXIFS(Abonos!$A$2:$A$5000,Abonos!$B$2:$B$5000,F136)),""))</f>
        <v/>
      </c>
      <c r="T136">
        <f>IF(F136="","",IF(AND(G136='Ruta de hoy'!$B$4,N(D136)&gt;0),COUNTIFS($G$2:G136,'Ruta de hoy'!$B$4,$D$2:D136,"&gt;0"),""))</f>
        <v/>
      </c>
    </row>
    <row r="137">
      <c r="D137" s="3">
        <f>IF(F137="","",MAX(0,M137-N137))</f>
        <v/>
      </c>
      <c r="H137" s="4" t="n"/>
      <c r="I137" s="3" t="n"/>
      <c r="J137" s="3" t="n"/>
      <c r="M137" s="3">
        <f>IF(F137="","",J137*K137)</f>
        <v/>
      </c>
      <c r="N137" s="3">
        <f>IF(F137="","",SUMIF(Abonos!$B$2:$B$5000,F137,Abonos!$C$2:$C$5000))</f>
        <v/>
      </c>
      <c r="O137">
        <f>IF(F137="","",MIN(K137,IF(TODAY()&lt;=H137,0,IF(L137="sí",TODAY()-H137,NETWORKDAYS.INTL(H137+1,TODAY(),11)))))</f>
        <v/>
      </c>
      <c r="P137" s="3">
        <f>IF(F137="","",O137*J137)</f>
        <v/>
      </c>
      <c r="Q137" s="3">
        <f>IF(F137="","",MAX(0,P137-N137))</f>
        <v/>
      </c>
      <c r="R137">
        <f>IF(F137="","",IF(N(J137)=0,0,ROUNDUP(Q137/J137,0)))</f>
        <v/>
      </c>
      <c r="S137" s="4">
        <f>IF(F137="","",IFERROR(1/(1/_xlfn.MAXIFS(Abonos!$A$2:$A$5000,Abonos!$B$2:$B$5000,F137)),""))</f>
        <v/>
      </c>
      <c r="T137">
        <f>IF(F137="","",IF(AND(G137='Ruta de hoy'!$B$4,N(D137)&gt;0),COUNTIFS($G$2:G137,'Ruta de hoy'!$B$4,$D$2:D137,"&gt;0"),""))</f>
        <v/>
      </c>
    </row>
    <row r="138">
      <c r="D138" s="3">
        <f>IF(F138="","",MAX(0,M138-N138))</f>
        <v/>
      </c>
      <c r="H138" s="4" t="n"/>
      <c r="I138" s="3" t="n"/>
      <c r="J138" s="3" t="n"/>
      <c r="M138" s="3">
        <f>IF(F138="","",J138*K138)</f>
        <v/>
      </c>
      <c r="N138" s="3">
        <f>IF(F138="","",SUMIF(Abonos!$B$2:$B$5000,F138,Abonos!$C$2:$C$5000))</f>
        <v/>
      </c>
      <c r="O138">
        <f>IF(F138="","",MIN(K138,IF(TODAY()&lt;=H138,0,IF(L138="sí",TODAY()-H138,NETWORKDAYS.INTL(H138+1,TODAY(),11)))))</f>
        <v/>
      </c>
      <c r="P138" s="3">
        <f>IF(F138="","",O138*J138)</f>
        <v/>
      </c>
      <c r="Q138" s="3">
        <f>IF(F138="","",MAX(0,P138-N138))</f>
        <v/>
      </c>
      <c r="R138">
        <f>IF(F138="","",IF(N(J138)=0,0,ROUNDUP(Q138/J138,0)))</f>
        <v/>
      </c>
      <c r="S138" s="4">
        <f>IF(F138="","",IFERROR(1/(1/_xlfn.MAXIFS(Abonos!$A$2:$A$5000,Abonos!$B$2:$B$5000,F138)),""))</f>
        <v/>
      </c>
      <c r="T138">
        <f>IF(F138="","",IF(AND(G138='Ruta de hoy'!$B$4,N(D138)&gt;0),COUNTIFS($G$2:G138,'Ruta de hoy'!$B$4,$D$2:D138,"&gt;0"),""))</f>
        <v/>
      </c>
    </row>
    <row r="139">
      <c r="D139" s="3">
        <f>IF(F139="","",MAX(0,M139-N139))</f>
        <v/>
      </c>
      <c r="H139" s="4" t="n"/>
      <c r="I139" s="3" t="n"/>
      <c r="J139" s="3" t="n"/>
      <c r="M139" s="3">
        <f>IF(F139="","",J139*K139)</f>
        <v/>
      </c>
      <c r="N139" s="3">
        <f>IF(F139="","",SUMIF(Abonos!$B$2:$B$5000,F139,Abonos!$C$2:$C$5000))</f>
        <v/>
      </c>
      <c r="O139">
        <f>IF(F139="","",MIN(K139,IF(TODAY()&lt;=H139,0,IF(L139="sí",TODAY()-H139,NETWORKDAYS.INTL(H139+1,TODAY(),11)))))</f>
        <v/>
      </c>
      <c r="P139" s="3">
        <f>IF(F139="","",O139*J139)</f>
        <v/>
      </c>
      <c r="Q139" s="3">
        <f>IF(F139="","",MAX(0,P139-N139))</f>
        <v/>
      </c>
      <c r="R139">
        <f>IF(F139="","",IF(N(J139)=0,0,ROUNDUP(Q139/J139,0)))</f>
        <v/>
      </c>
      <c r="S139" s="4">
        <f>IF(F139="","",IFERROR(1/(1/_xlfn.MAXIFS(Abonos!$A$2:$A$5000,Abonos!$B$2:$B$5000,F139)),""))</f>
        <v/>
      </c>
      <c r="T139">
        <f>IF(F139="","",IF(AND(G139='Ruta de hoy'!$B$4,N(D139)&gt;0),COUNTIFS($G$2:G139,'Ruta de hoy'!$B$4,$D$2:D139,"&gt;0"),""))</f>
        <v/>
      </c>
    </row>
    <row r="140">
      <c r="D140" s="3">
        <f>IF(F140="","",MAX(0,M140-N140))</f>
        <v/>
      </c>
      <c r="H140" s="4" t="n"/>
      <c r="I140" s="3" t="n"/>
      <c r="J140" s="3" t="n"/>
      <c r="M140" s="3">
        <f>IF(F140="","",J140*K140)</f>
        <v/>
      </c>
      <c r="N140" s="3">
        <f>IF(F140="","",SUMIF(Abonos!$B$2:$B$5000,F140,Abonos!$C$2:$C$5000))</f>
        <v/>
      </c>
      <c r="O140">
        <f>IF(F140="","",MIN(K140,IF(TODAY()&lt;=H140,0,IF(L140="sí",TODAY()-H140,NETWORKDAYS.INTL(H140+1,TODAY(),11)))))</f>
        <v/>
      </c>
      <c r="P140" s="3">
        <f>IF(F140="","",O140*J140)</f>
        <v/>
      </c>
      <c r="Q140" s="3">
        <f>IF(F140="","",MAX(0,P140-N140))</f>
        <v/>
      </c>
      <c r="R140">
        <f>IF(F140="","",IF(N(J140)=0,0,ROUNDUP(Q140/J140,0)))</f>
        <v/>
      </c>
      <c r="S140" s="4">
        <f>IF(F140="","",IFERROR(1/(1/_xlfn.MAXIFS(Abonos!$A$2:$A$5000,Abonos!$B$2:$B$5000,F140)),""))</f>
        <v/>
      </c>
      <c r="T140">
        <f>IF(F140="","",IF(AND(G140='Ruta de hoy'!$B$4,N(D140)&gt;0),COUNTIFS($G$2:G140,'Ruta de hoy'!$B$4,$D$2:D140,"&gt;0"),""))</f>
        <v/>
      </c>
    </row>
    <row r="141">
      <c r="D141" s="3">
        <f>IF(F141="","",MAX(0,M141-N141))</f>
        <v/>
      </c>
      <c r="H141" s="4" t="n"/>
      <c r="I141" s="3" t="n"/>
      <c r="J141" s="3" t="n"/>
      <c r="M141" s="3">
        <f>IF(F141="","",J141*K141)</f>
        <v/>
      </c>
      <c r="N141" s="3">
        <f>IF(F141="","",SUMIF(Abonos!$B$2:$B$5000,F141,Abonos!$C$2:$C$5000))</f>
        <v/>
      </c>
      <c r="O141">
        <f>IF(F141="","",MIN(K141,IF(TODAY()&lt;=H141,0,IF(L141="sí",TODAY()-H141,NETWORKDAYS.INTL(H141+1,TODAY(),11)))))</f>
        <v/>
      </c>
      <c r="P141" s="3">
        <f>IF(F141="","",O141*J141)</f>
        <v/>
      </c>
      <c r="Q141" s="3">
        <f>IF(F141="","",MAX(0,P141-N141))</f>
        <v/>
      </c>
      <c r="R141">
        <f>IF(F141="","",IF(N(J141)=0,0,ROUNDUP(Q141/J141,0)))</f>
        <v/>
      </c>
      <c r="S141" s="4">
        <f>IF(F141="","",IFERROR(1/(1/_xlfn.MAXIFS(Abonos!$A$2:$A$5000,Abonos!$B$2:$B$5000,F141)),""))</f>
        <v/>
      </c>
      <c r="T141">
        <f>IF(F141="","",IF(AND(G141='Ruta de hoy'!$B$4,N(D141)&gt;0),COUNTIFS($G$2:G141,'Ruta de hoy'!$B$4,$D$2:D141,"&gt;0"),""))</f>
        <v/>
      </c>
    </row>
    <row r="142">
      <c r="D142" s="3">
        <f>IF(F142="","",MAX(0,M142-N142))</f>
        <v/>
      </c>
      <c r="H142" s="4" t="n"/>
      <c r="I142" s="3" t="n"/>
      <c r="J142" s="3" t="n"/>
      <c r="M142" s="3">
        <f>IF(F142="","",J142*K142)</f>
        <v/>
      </c>
      <c r="N142" s="3">
        <f>IF(F142="","",SUMIF(Abonos!$B$2:$B$5000,F142,Abonos!$C$2:$C$5000))</f>
        <v/>
      </c>
      <c r="O142">
        <f>IF(F142="","",MIN(K142,IF(TODAY()&lt;=H142,0,IF(L142="sí",TODAY()-H142,NETWORKDAYS.INTL(H142+1,TODAY(),11)))))</f>
        <v/>
      </c>
      <c r="P142" s="3">
        <f>IF(F142="","",O142*J142)</f>
        <v/>
      </c>
      <c r="Q142" s="3">
        <f>IF(F142="","",MAX(0,P142-N142))</f>
        <v/>
      </c>
      <c r="R142">
        <f>IF(F142="","",IF(N(J142)=0,0,ROUNDUP(Q142/J142,0)))</f>
        <v/>
      </c>
      <c r="S142" s="4">
        <f>IF(F142="","",IFERROR(1/(1/_xlfn.MAXIFS(Abonos!$A$2:$A$5000,Abonos!$B$2:$B$5000,F142)),""))</f>
        <v/>
      </c>
      <c r="T142">
        <f>IF(F142="","",IF(AND(G142='Ruta de hoy'!$B$4,N(D142)&gt;0),COUNTIFS($G$2:G142,'Ruta de hoy'!$B$4,$D$2:D142,"&gt;0"),""))</f>
        <v/>
      </c>
    </row>
    <row r="143">
      <c r="D143" s="3">
        <f>IF(F143="","",MAX(0,M143-N143))</f>
        <v/>
      </c>
      <c r="H143" s="4" t="n"/>
      <c r="I143" s="3" t="n"/>
      <c r="J143" s="3" t="n"/>
      <c r="M143" s="3">
        <f>IF(F143="","",J143*K143)</f>
        <v/>
      </c>
      <c r="N143" s="3">
        <f>IF(F143="","",SUMIF(Abonos!$B$2:$B$5000,F143,Abonos!$C$2:$C$5000))</f>
        <v/>
      </c>
      <c r="O143">
        <f>IF(F143="","",MIN(K143,IF(TODAY()&lt;=H143,0,IF(L143="sí",TODAY()-H143,NETWORKDAYS.INTL(H143+1,TODAY(),11)))))</f>
        <v/>
      </c>
      <c r="P143" s="3">
        <f>IF(F143="","",O143*J143)</f>
        <v/>
      </c>
      <c r="Q143" s="3">
        <f>IF(F143="","",MAX(0,P143-N143))</f>
        <v/>
      </c>
      <c r="R143">
        <f>IF(F143="","",IF(N(J143)=0,0,ROUNDUP(Q143/J143,0)))</f>
        <v/>
      </c>
      <c r="S143" s="4">
        <f>IF(F143="","",IFERROR(1/(1/_xlfn.MAXIFS(Abonos!$A$2:$A$5000,Abonos!$B$2:$B$5000,F143)),""))</f>
        <v/>
      </c>
      <c r="T143">
        <f>IF(F143="","",IF(AND(G143='Ruta de hoy'!$B$4,N(D143)&gt;0),COUNTIFS($G$2:G143,'Ruta de hoy'!$B$4,$D$2:D143,"&gt;0"),""))</f>
        <v/>
      </c>
    </row>
    <row r="144">
      <c r="D144" s="3">
        <f>IF(F144="","",MAX(0,M144-N144))</f>
        <v/>
      </c>
      <c r="H144" s="4" t="n"/>
      <c r="I144" s="3" t="n"/>
      <c r="J144" s="3" t="n"/>
      <c r="M144" s="3">
        <f>IF(F144="","",J144*K144)</f>
        <v/>
      </c>
      <c r="N144" s="3">
        <f>IF(F144="","",SUMIF(Abonos!$B$2:$B$5000,F144,Abonos!$C$2:$C$5000))</f>
        <v/>
      </c>
      <c r="O144">
        <f>IF(F144="","",MIN(K144,IF(TODAY()&lt;=H144,0,IF(L144="sí",TODAY()-H144,NETWORKDAYS.INTL(H144+1,TODAY(),11)))))</f>
        <v/>
      </c>
      <c r="P144" s="3">
        <f>IF(F144="","",O144*J144)</f>
        <v/>
      </c>
      <c r="Q144" s="3">
        <f>IF(F144="","",MAX(0,P144-N144))</f>
        <v/>
      </c>
      <c r="R144">
        <f>IF(F144="","",IF(N(J144)=0,0,ROUNDUP(Q144/J144,0)))</f>
        <v/>
      </c>
      <c r="S144" s="4">
        <f>IF(F144="","",IFERROR(1/(1/_xlfn.MAXIFS(Abonos!$A$2:$A$5000,Abonos!$B$2:$B$5000,F144)),""))</f>
        <v/>
      </c>
      <c r="T144">
        <f>IF(F144="","",IF(AND(G144='Ruta de hoy'!$B$4,N(D144)&gt;0),COUNTIFS($G$2:G144,'Ruta de hoy'!$B$4,$D$2:D144,"&gt;0"),""))</f>
        <v/>
      </c>
    </row>
    <row r="145">
      <c r="D145" s="3">
        <f>IF(F145="","",MAX(0,M145-N145))</f>
        <v/>
      </c>
      <c r="H145" s="4" t="n"/>
      <c r="I145" s="3" t="n"/>
      <c r="J145" s="3" t="n"/>
      <c r="M145" s="3">
        <f>IF(F145="","",J145*K145)</f>
        <v/>
      </c>
      <c r="N145" s="3">
        <f>IF(F145="","",SUMIF(Abonos!$B$2:$B$5000,F145,Abonos!$C$2:$C$5000))</f>
        <v/>
      </c>
      <c r="O145">
        <f>IF(F145="","",MIN(K145,IF(TODAY()&lt;=H145,0,IF(L145="sí",TODAY()-H145,NETWORKDAYS.INTL(H145+1,TODAY(),11)))))</f>
        <v/>
      </c>
      <c r="P145" s="3">
        <f>IF(F145="","",O145*J145)</f>
        <v/>
      </c>
      <c r="Q145" s="3">
        <f>IF(F145="","",MAX(0,P145-N145))</f>
        <v/>
      </c>
      <c r="R145">
        <f>IF(F145="","",IF(N(J145)=0,0,ROUNDUP(Q145/J145,0)))</f>
        <v/>
      </c>
      <c r="S145" s="4">
        <f>IF(F145="","",IFERROR(1/(1/_xlfn.MAXIFS(Abonos!$A$2:$A$5000,Abonos!$B$2:$B$5000,F145)),""))</f>
        <v/>
      </c>
      <c r="T145">
        <f>IF(F145="","",IF(AND(G145='Ruta de hoy'!$B$4,N(D145)&gt;0),COUNTIFS($G$2:G145,'Ruta de hoy'!$B$4,$D$2:D145,"&gt;0"),""))</f>
        <v/>
      </c>
    </row>
    <row r="146">
      <c r="D146" s="3">
        <f>IF(F146="","",MAX(0,M146-N146))</f>
        <v/>
      </c>
      <c r="H146" s="4" t="n"/>
      <c r="I146" s="3" t="n"/>
      <c r="J146" s="3" t="n"/>
      <c r="M146" s="3">
        <f>IF(F146="","",J146*K146)</f>
        <v/>
      </c>
      <c r="N146" s="3">
        <f>IF(F146="","",SUMIF(Abonos!$B$2:$B$5000,F146,Abonos!$C$2:$C$5000))</f>
        <v/>
      </c>
      <c r="O146">
        <f>IF(F146="","",MIN(K146,IF(TODAY()&lt;=H146,0,IF(L146="sí",TODAY()-H146,NETWORKDAYS.INTL(H146+1,TODAY(),11)))))</f>
        <v/>
      </c>
      <c r="P146" s="3">
        <f>IF(F146="","",O146*J146)</f>
        <v/>
      </c>
      <c r="Q146" s="3">
        <f>IF(F146="","",MAX(0,P146-N146))</f>
        <v/>
      </c>
      <c r="R146">
        <f>IF(F146="","",IF(N(J146)=0,0,ROUNDUP(Q146/J146,0)))</f>
        <v/>
      </c>
      <c r="S146" s="4">
        <f>IF(F146="","",IFERROR(1/(1/_xlfn.MAXIFS(Abonos!$A$2:$A$5000,Abonos!$B$2:$B$5000,F146)),""))</f>
        <v/>
      </c>
      <c r="T146">
        <f>IF(F146="","",IF(AND(G146='Ruta de hoy'!$B$4,N(D146)&gt;0),COUNTIFS($G$2:G146,'Ruta de hoy'!$B$4,$D$2:D146,"&gt;0"),""))</f>
        <v/>
      </c>
    </row>
    <row r="147">
      <c r="D147" s="3">
        <f>IF(F147="","",MAX(0,M147-N147))</f>
        <v/>
      </c>
      <c r="H147" s="4" t="n"/>
      <c r="I147" s="3" t="n"/>
      <c r="J147" s="3" t="n"/>
      <c r="M147" s="3">
        <f>IF(F147="","",J147*K147)</f>
        <v/>
      </c>
      <c r="N147" s="3">
        <f>IF(F147="","",SUMIF(Abonos!$B$2:$B$5000,F147,Abonos!$C$2:$C$5000))</f>
        <v/>
      </c>
      <c r="O147">
        <f>IF(F147="","",MIN(K147,IF(TODAY()&lt;=H147,0,IF(L147="sí",TODAY()-H147,NETWORKDAYS.INTL(H147+1,TODAY(),11)))))</f>
        <v/>
      </c>
      <c r="P147" s="3">
        <f>IF(F147="","",O147*J147)</f>
        <v/>
      </c>
      <c r="Q147" s="3">
        <f>IF(F147="","",MAX(0,P147-N147))</f>
        <v/>
      </c>
      <c r="R147">
        <f>IF(F147="","",IF(N(J147)=0,0,ROUNDUP(Q147/J147,0)))</f>
        <v/>
      </c>
      <c r="S147" s="4">
        <f>IF(F147="","",IFERROR(1/(1/_xlfn.MAXIFS(Abonos!$A$2:$A$5000,Abonos!$B$2:$B$5000,F147)),""))</f>
        <v/>
      </c>
      <c r="T147">
        <f>IF(F147="","",IF(AND(G147='Ruta de hoy'!$B$4,N(D147)&gt;0),COUNTIFS($G$2:G147,'Ruta de hoy'!$B$4,$D$2:D147,"&gt;0"),""))</f>
        <v/>
      </c>
    </row>
    <row r="148">
      <c r="D148" s="3">
        <f>IF(F148="","",MAX(0,M148-N148))</f>
        <v/>
      </c>
      <c r="H148" s="4" t="n"/>
      <c r="I148" s="3" t="n"/>
      <c r="J148" s="3" t="n"/>
      <c r="M148" s="3">
        <f>IF(F148="","",J148*K148)</f>
        <v/>
      </c>
      <c r="N148" s="3">
        <f>IF(F148="","",SUMIF(Abonos!$B$2:$B$5000,F148,Abonos!$C$2:$C$5000))</f>
        <v/>
      </c>
      <c r="O148">
        <f>IF(F148="","",MIN(K148,IF(TODAY()&lt;=H148,0,IF(L148="sí",TODAY()-H148,NETWORKDAYS.INTL(H148+1,TODAY(),11)))))</f>
        <v/>
      </c>
      <c r="P148" s="3">
        <f>IF(F148="","",O148*J148)</f>
        <v/>
      </c>
      <c r="Q148" s="3">
        <f>IF(F148="","",MAX(0,P148-N148))</f>
        <v/>
      </c>
      <c r="R148">
        <f>IF(F148="","",IF(N(J148)=0,0,ROUNDUP(Q148/J148,0)))</f>
        <v/>
      </c>
      <c r="S148" s="4">
        <f>IF(F148="","",IFERROR(1/(1/_xlfn.MAXIFS(Abonos!$A$2:$A$5000,Abonos!$B$2:$B$5000,F148)),""))</f>
        <v/>
      </c>
      <c r="T148">
        <f>IF(F148="","",IF(AND(G148='Ruta de hoy'!$B$4,N(D148)&gt;0),COUNTIFS($G$2:G148,'Ruta de hoy'!$B$4,$D$2:D148,"&gt;0"),""))</f>
        <v/>
      </c>
    </row>
    <row r="149">
      <c r="D149" s="3">
        <f>IF(F149="","",MAX(0,M149-N149))</f>
        <v/>
      </c>
      <c r="H149" s="4" t="n"/>
      <c r="I149" s="3" t="n"/>
      <c r="J149" s="3" t="n"/>
      <c r="M149" s="3">
        <f>IF(F149="","",J149*K149)</f>
        <v/>
      </c>
      <c r="N149" s="3">
        <f>IF(F149="","",SUMIF(Abonos!$B$2:$B$5000,F149,Abonos!$C$2:$C$5000))</f>
        <v/>
      </c>
      <c r="O149">
        <f>IF(F149="","",MIN(K149,IF(TODAY()&lt;=H149,0,IF(L149="sí",TODAY()-H149,NETWORKDAYS.INTL(H149+1,TODAY(),11)))))</f>
        <v/>
      </c>
      <c r="P149" s="3">
        <f>IF(F149="","",O149*J149)</f>
        <v/>
      </c>
      <c r="Q149" s="3">
        <f>IF(F149="","",MAX(0,P149-N149))</f>
        <v/>
      </c>
      <c r="R149">
        <f>IF(F149="","",IF(N(J149)=0,0,ROUNDUP(Q149/J149,0)))</f>
        <v/>
      </c>
      <c r="S149" s="4">
        <f>IF(F149="","",IFERROR(1/(1/_xlfn.MAXIFS(Abonos!$A$2:$A$5000,Abonos!$B$2:$B$5000,F149)),""))</f>
        <v/>
      </c>
      <c r="T149">
        <f>IF(F149="","",IF(AND(G149='Ruta de hoy'!$B$4,N(D149)&gt;0),COUNTIFS($G$2:G149,'Ruta de hoy'!$B$4,$D$2:D149,"&gt;0"),""))</f>
        <v/>
      </c>
    </row>
    <row r="150">
      <c r="D150" s="3">
        <f>IF(F150="","",MAX(0,M150-N150))</f>
        <v/>
      </c>
      <c r="H150" s="4" t="n"/>
      <c r="I150" s="3" t="n"/>
      <c r="J150" s="3" t="n"/>
      <c r="M150" s="3">
        <f>IF(F150="","",J150*K150)</f>
        <v/>
      </c>
      <c r="N150" s="3">
        <f>IF(F150="","",SUMIF(Abonos!$B$2:$B$5000,F150,Abonos!$C$2:$C$5000))</f>
        <v/>
      </c>
      <c r="O150">
        <f>IF(F150="","",MIN(K150,IF(TODAY()&lt;=H150,0,IF(L150="sí",TODAY()-H150,NETWORKDAYS.INTL(H150+1,TODAY(),11)))))</f>
        <v/>
      </c>
      <c r="P150" s="3">
        <f>IF(F150="","",O150*J150)</f>
        <v/>
      </c>
      <c r="Q150" s="3">
        <f>IF(F150="","",MAX(0,P150-N150))</f>
        <v/>
      </c>
      <c r="R150">
        <f>IF(F150="","",IF(N(J150)=0,0,ROUNDUP(Q150/J150,0)))</f>
        <v/>
      </c>
      <c r="S150" s="4">
        <f>IF(F150="","",IFERROR(1/(1/_xlfn.MAXIFS(Abonos!$A$2:$A$5000,Abonos!$B$2:$B$5000,F150)),""))</f>
        <v/>
      </c>
      <c r="T150">
        <f>IF(F150="","",IF(AND(G150='Ruta de hoy'!$B$4,N(D150)&gt;0),COUNTIFS($G$2:G150,'Ruta de hoy'!$B$4,$D$2:D150,"&gt;0"),""))</f>
        <v/>
      </c>
    </row>
    <row r="151">
      <c r="D151" s="3">
        <f>IF(F151="","",MAX(0,M151-N151))</f>
        <v/>
      </c>
      <c r="H151" s="4" t="n"/>
      <c r="I151" s="3" t="n"/>
      <c r="J151" s="3" t="n"/>
      <c r="M151" s="3">
        <f>IF(F151="","",J151*K151)</f>
        <v/>
      </c>
      <c r="N151" s="3">
        <f>IF(F151="","",SUMIF(Abonos!$B$2:$B$5000,F151,Abonos!$C$2:$C$5000))</f>
        <v/>
      </c>
      <c r="O151">
        <f>IF(F151="","",MIN(K151,IF(TODAY()&lt;=H151,0,IF(L151="sí",TODAY()-H151,NETWORKDAYS.INTL(H151+1,TODAY(),11)))))</f>
        <v/>
      </c>
      <c r="P151" s="3">
        <f>IF(F151="","",O151*J151)</f>
        <v/>
      </c>
      <c r="Q151" s="3">
        <f>IF(F151="","",MAX(0,P151-N151))</f>
        <v/>
      </c>
      <c r="R151">
        <f>IF(F151="","",IF(N(J151)=0,0,ROUNDUP(Q151/J151,0)))</f>
        <v/>
      </c>
      <c r="S151" s="4">
        <f>IF(F151="","",IFERROR(1/(1/_xlfn.MAXIFS(Abonos!$A$2:$A$5000,Abonos!$B$2:$B$5000,F151)),""))</f>
        <v/>
      </c>
      <c r="T151">
        <f>IF(F151="","",IF(AND(G151='Ruta de hoy'!$B$4,N(D151)&gt;0),COUNTIFS($G$2:G151,'Ruta de hoy'!$B$4,$D$2:D151,"&gt;0"),""))</f>
        <v/>
      </c>
    </row>
    <row r="152">
      <c r="D152" s="3">
        <f>IF(F152="","",MAX(0,M152-N152))</f>
        <v/>
      </c>
      <c r="H152" s="4" t="n"/>
      <c r="I152" s="3" t="n"/>
      <c r="J152" s="3" t="n"/>
      <c r="M152" s="3">
        <f>IF(F152="","",J152*K152)</f>
        <v/>
      </c>
      <c r="N152" s="3">
        <f>IF(F152="","",SUMIF(Abonos!$B$2:$B$5000,F152,Abonos!$C$2:$C$5000))</f>
        <v/>
      </c>
      <c r="O152">
        <f>IF(F152="","",MIN(K152,IF(TODAY()&lt;=H152,0,IF(L152="sí",TODAY()-H152,NETWORKDAYS.INTL(H152+1,TODAY(),11)))))</f>
        <v/>
      </c>
      <c r="P152" s="3">
        <f>IF(F152="","",O152*J152)</f>
        <v/>
      </c>
      <c r="Q152" s="3">
        <f>IF(F152="","",MAX(0,P152-N152))</f>
        <v/>
      </c>
      <c r="R152">
        <f>IF(F152="","",IF(N(J152)=0,0,ROUNDUP(Q152/J152,0)))</f>
        <v/>
      </c>
      <c r="S152" s="4">
        <f>IF(F152="","",IFERROR(1/(1/_xlfn.MAXIFS(Abonos!$A$2:$A$5000,Abonos!$B$2:$B$5000,F152)),""))</f>
        <v/>
      </c>
      <c r="T152">
        <f>IF(F152="","",IF(AND(G152='Ruta de hoy'!$B$4,N(D152)&gt;0),COUNTIFS($G$2:G152,'Ruta de hoy'!$B$4,$D$2:D152,"&gt;0"),""))</f>
        <v/>
      </c>
    </row>
    <row r="153">
      <c r="D153" s="3">
        <f>IF(F153="","",MAX(0,M153-N153))</f>
        <v/>
      </c>
      <c r="H153" s="4" t="n"/>
      <c r="I153" s="3" t="n"/>
      <c r="J153" s="3" t="n"/>
      <c r="M153" s="3">
        <f>IF(F153="","",J153*K153)</f>
        <v/>
      </c>
      <c r="N153" s="3">
        <f>IF(F153="","",SUMIF(Abonos!$B$2:$B$5000,F153,Abonos!$C$2:$C$5000))</f>
        <v/>
      </c>
      <c r="O153">
        <f>IF(F153="","",MIN(K153,IF(TODAY()&lt;=H153,0,IF(L153="sí",TODAY()-H153,NETWORKDAYS.INTL(H153+1,TODAY(),11)))))</f>
        <v/>
      </c>
      <c r="P153" s="3">
        <f>IF(F153="","",O153*J153)</f>
        <v/>
      </c>
      <c r="Q153" s="3">
        <f>IF(F153="","",MAX(0,P153-N153))</f>
        <v/>
      </c>
      <c r="R153">
        <f>IF(F153="","",IF(N(J153)=0,0,ROUNDUP(Q153/J153,0)))</f>
        <v/>
      </c>
      <c r="S153" s="4">
        <f>IF(F153="","",IFERROR(1/(1/_xlfn.MAXIFS(Abonos!$A$2:$A$5000,Abonos!$B$2:$B$5000,F153)),""))</f>
        <v/>
      </c>
      <c r="T153">
        <f>IF(F153="","",IF(AND(G153='Ruta de hoy'!$B$4,N(D153)&gt;0),COUNTIFS($G$2:G153,'Ruta de hoy'!$B$4,$D$2:D153,"&gt;0"),""))</f>
        <v/>
      </c>
    </row>
    <row r="154">
      <c r="D154" s="3">
        <f>IF(F154="","",MAX(0,M154-N154))</f>
        <v/>
      </c>
      <c r="H154" s="4" t="n"/>
      <c r="I154" s="3" t="n"/>
      <c r="J154" s="3" t="n"/>
      <c r="M154" s="3">
        <f>IF(F154="","",J154*K154)</f>
        <v/>
      </c>
      <c r="N154" s="3">
        <f>IF(F154="","",SUMIF(Abonos!$B$2:$B$5000,F154,Abonos!$C$2:$C$5000))</f>
        <v/>
      </c>
      <c r="O154">
        <f>IF(F154="","",MIN(K154,IF(TODAY()&lt;=H154,0,IF(L154="sí",TODAY()-H154,NETWORKDAYS.INTL(H154+1,TODAY(),11)))))</f>
        <v/>
      </c>
      <c r="P154" s="3">
        <f>IF(F154="","",O154*J154)</f>
        <v/>
      </c>
      <c r="Q154" s="3">
        <f>IF(F154="","",MAX(0,P154-N154))</f>
        <v/>
      </c>
      <c r="R154">
        <f>IF(F154="","",IF(N(J154)=0,0,ROUNDUP(Q154/J154,0)))</f>
        <v/>
      </c>
      <c r="S154" s="4">
        <f>IF(F154="","",IFERROR(1/(1/_xlfn.MAXIFS(Abonos!$A$2:$A$5000,Abonos!$B$2:$B$5000,F154)),""))</f>
        <v/>
      </c>
      <c r="T154">
        <f>IF(F154="","",IF(AND(G154='Ruta de hoy'!$B$4,N(D154)&gt;0),COUNTIFS($G$2:G154,'Ruta de hoy'!$B$4,$D$2:D154,"&gt;0"),""))</f>
        <v/>
      </c>
    </row>
    <row r="155">
      <c r="D155" s="3">
        <f>IF(F155="","",MAX(0,M155-N155))</f>
        <v/>
      </c>
      <c r="H155" s="4" t="n"/>
      <c r="I155" s="3" t="n"/>
      <c r="J155" s="3" t="n"/>
      <c r="M155" s="3">
        <f>IF(F155="","",J155*K155)</f>
        <v/>
      </c>
      <c r="N155" s="3">
        <f>IF(F155="","",SUMIF(Abonos!$B$2:$B$5000,F155,Abonos!$C$2:$C$5000))</f>
        <v/>
      </c>
      <c r="O155">
        <f>IF(F155="","",MIN(K155,IF(TODAY()&lt;=H155,0,IF(L155="sí",TODAY()-H155,NETWORKDAYS.INTL(H155+1,TODAY(),11)))))</f>
        <v/>
      </c>
      <c r="P155" s="3">
        <f>IF(F155="","",O155*J155)</f>
        <v/>
      </c>
      <c r="Q155" s="3">
        <f>IF(F155="","",MAX(0,P155-N155))</f>
        <v/>
      </c>
      <c r="R155">
        <f>IF(F155="","",IF(N(J155)=0,0,ROUNDUP(Q155/J155,0)))</f>
        <v/>
      </c>
      <c r="S155" s="4">
        <f>IF(F155="","",IFERROR(1/(1/_xlfn.MAXIFS(Abonos!$A$2:$A$5000,Abonos!$B$2:$B$5000,F155)),""))</f>
        <v/>
      </c>
      <c r="T155">
        <f>IF(F155="","",IF(AND(G155='Ruta de hoy'!$B$4,N(D155)&gt;0),COUNTIFS($G$2:G155,'Ruta de hoy'!$B$4,$D$2:D155,"&gt;0"),""))</f>
        <v/>
      </c>
    </row>
    <row r="156">
      <c r="D156" s="3">
        <f>IF(F156="","",MAX(0,M156-N156))</f>
        <v/>
      </c>
      <c r="H156" s="4" t="n"/>
      <c r="I156" s="3" t="n"/>
      <c r="J156" s="3" t="n"/>
      <c r="M156" s="3">
        <f>IF(F156="","",J156*K156)</f>
        <v/>
      </c>
      <c r="N156" s="3">
        <f>IF(F156="","",SUMIF(Abonos!$B$2:$B$5000,F156,Abonos!$C$2:$C$5000))</f>
        <v/>
      </c>
      <c r="O156">
        <f>IF(F156="","",MIN(K156,IF(TODAY()&lt;=H156,0,IF(L156="sí",TODAY()-H156,NETWORKDAYS.INTL(H156+1,TODAY(),11)))))</f>
        <v/>
      </c>
      <c r="P156" s="3">
        <f>IF(F156="","",O156*J156)</f>
        <v/>
      </c>
      <c r="Q156" s="3">
        <f>IF(F156="","",MAX(0,P156-N156))</f>
        <v/>
      </c>
      <c r="R156">
        <f>IF(F156="","",IF(N(J156)=0,0,ROUNDUP(Q156/J156,0)))</f>
        <v/>
      </c>
      <c r="S156" s="4">
        <f>IF(F156="","",IFERROR(1/(1/_xlfn.MAXIFS(Abonos!$A$2:$A$5000,Abonos!$B$2:$B$5000,F156)),""))</f>
        <v/>
      </c>
      <c r="T156">
        <f>IF(F156="","",IF(AND(G156='Ruta de hoy'!$B$4,N(D156)&gt;0),COUNTIFS($G$2:G156,'Ruta de hoy'!$B$4,$D$2:D156,"&gt;0"),""))</f>
        <v/>
      </c>
    </row>
    <row r="157">
      <c r="D157" s="3">
        <f>IF(F157="","",MAX(0,M157-N157))</f>
        <v/>
      </c>
      <c r="H157" s="4" t="n"/>
      <c r="I157" s="3" t="n"/>
      <c r="J157" s="3" t="n"/>
      <c r="M157" s="3">
        <f>IF(F157="","",J157*K157)</f>
        <v/>
      </c>
      <c r="N157" s="3">
        <f>IF(F157="","",SUMIF(Abonos!$B$2:$B$5000,F157,Abonos!$C$2:$C$5000))</f>
        <v/>
      </c>
      <c r="O157">
        <f>IF(F157="","",MIN(K157,IF(TODAY()&lt;=H157,0,IF(L157="sí",TODAY()-H157,NETWORKDAYS.INTL(H157+1,TODAY(),11)))))</f>
        <v/>
      </c>
      <c r="P157" s="3">
        <f>IF(F157="","",O157*J157)</f>
        <v/>
      </c>
      <c r="Q157" s="3">
        <f>IF(F157="","",MAX(0,P157-N157))</f>
        <v/>
      </c>
      <c r="R157">
        <f>IF(F157="","",IF(N(J157)=0,0,ROUNDUP(Q157/J157,0)))</f>
        <v/>
      </c>
      <c r="S157" s="4">
        <f>IF(F157="","",IFERROR(1/(1/_xlfn.MAXIFS(Abonos!$A$2:$A$5000,Abonos!$B$2:$B$5000,F157)),""))</f>
        <v/>
      </c>
      <c r="T157">
        <f>IF(F157="","",IF(AND(G157='Ruta de hoy'!$B$4,N(D157)&gt;0),COUNTIFS($G$2:G157,'Ruta de hoy'!$B$4,$D$2:D157,"&gt;0"),""))</f>
        <v/>
      </c>
    </row>
    <row r="158">
      <c r="D158" s="3">
        <f>IF(F158="","",MAX(0,M158-N158))</f>
        <v/>
      </c>
      <c r="H158" s="4" t="n"/>
      <c r="I158" s="3" t="n"/>
      <c r="J158" s="3" t="n"/>
      <c r="M158" s="3">
        <f>IF(F158="","",J158*K158)</f>
        <v/>
      </c>
      <c r="N158" s="3">
        <f>IF(F158="","",SUMIF(Abonos!$B$2:$B$5000,F158,Abonos!$C$2:$C$5000))</f>
        <v/>
      </c>
      <c r="O158">
        <f>IF(F158="","",MIN(K158,IF(TODAY()&lt;=H158,0,IF(L158="sí",TODAY()-H158,NETWORKDAYS.INTL(H158+1,TODAY(),11)))))</f>
        <v/>
      </c>
      <c r="P158" s="3">
        <f>IF(F158="","",O158*J158)</f>
        <v/>
      </c>
      <c r="Q158" s="3">
        <f>IF(F158="","",MAX(0,P158-N158))</f>
        <v/>
      </c>
      <c r="R158">
        <f>IF(F158="","",IF(N(J158)=0,0,ROUNDUP(Q158/J158,0)))</f>
        <v/>
      </c>
      <c r="S158" s="4">
        <f>IF(F158="","",IFERROR(1/(1/_xlfn.MAXIFS(Abonos!$A$2:$A$5000,Abonos!$B$2:$B$5000,F158)),""))</f>
        <v/>
      </c>
      <c r="T158">
        <f>IF(F158="","",IF(AND(G158='Ruta de hoy'!$B$4,N(D158)&gt;0),COUNTIFS($G$2:G158,'Ruta de hoy'!$B$4,$D$2:D158,"&gt;0"),""))</f>
        <v/>
      </c>
    </row>
    <row r="159">
      <c r="D159" s="3">
        <f>IF(F159="","",MAX(0,M159-N159))</f>
        <v/>
      </c>
      <c r="H159" s="4" t="n"/>
      <c r="I159" s="3" t="n"/>
      <c r="J159" s="3" t="n"/>
      <c r="M159" s="3">
        <f>IF(F159="","",J159*K159)</f>
        <v/>
      </c>
      <c r="N159" s="3">
        <f>IF(F159="","",SUMIF(Abonos!$B$2:$B$5000,F159,Abonos!$C$2:$C$5000))</f>
        <v/>
      </c>
      <c r="O159">
        <f>IF(F159="","",MIN(K159,IF(TODAY()&lt;=H159,0,IF(L159="sí",TODAY()-H159,NETWORKDAYS.INTL(H159+1,TODAY(),11)))))</f>
        <v/>
      </c>
      <c r="P159" s="3">
        <f>IF(F159="","",O159*J159)</f>
        <v/>
      </c>
      <c r="Q159" s="3">
        <f>IF(F159="","",MAX(0,P159-N159))</f>
        <v/>
      </c>
      <c r="R159">
        <f>IF(F159="","",IF(N(J159)=0,0,ROUNDUP(Q159/J159,0)))</f>
        <v/>
      </c>
      <c r="S159" s="4">
        <f>IF(F159="","",IFERROR(1/(1/_xlfn.MAXIFS(Abonos!$A$2:$A$5000,Abonos!$B$2:$B$5000,F159)),""))</f>
        <v/>
      </c>
      <c r="T159">
        <f>IF(F159="","",IF(AND(G159='Ruta de hoy'!$B$4,N(D159)&gt;0),COUNTIFS($G$2:G159,'Ruta de hoy'!$B$4,$D$2:D159,"&gt;0"),""))</f>
        <v/>
      </c>
    </row>
    <row r="160">
      <c r="D160" s="3">
        <f>IF(F160="","",MAX(0,M160-N160))</f>
        <v/>
      </c>
      <c r="H160" s="4" t="n"/>
      <c r="I160" s="3" t="n"/>
      <c r="J160" s="3" t="n"/>
      <c r="M160" s="3">
        <f>IF(F160="","",J160*K160)</f>
        <v/>
      </c>
      <c r="N160" s="3">
        <f>IF(F160="","",SUMIF(Abonos!$B$2:$B$5000,F160,Abonos!$C$2:$C$5000))</f>
        <v/>
      </c>
      <c r="O160">
        <f>IF(F160="","",MIN(K160,IF(TODAY()&lt;=H160,0,IF(L160="sí",TODAY()-H160,NETWORKDAYS.INTL(H160+1,TODAY(),11)))))</f>
        <v/>
      </c>
      <c r="P160" s="3">
        <f>IF(F160="","",O160*J160)</f>
        <v/>
      </c>
      <c r="Q160" s="3">
        <f>IF(F160="","",MAX(0,P160-N160))</f>
        <v/>
      </c>
      <c r="R160">
        <f>IF(F160="","",IF(N(J160)=0,0,ROUNDUP(Q160/J160,0)))</f>
        <v/>
      </c>
      <c r="S160" s="4">
        <f>IF(F160="","",IFERROR(1/(1/_xlfn.MAXIFS(Abonos!$A$2:$A$5000,Abonos!$B$2:$B$5000,F160)),""))</f>
        <v/>
      </c>
      <c r="T160">
        <f>IF(F160="","",IF(AND(G160='Ruta de hoy'!$B$4,N(D160)&gt;0),COUNTIFS($G$2:G160,'Ruta de hoy'!$B$4,$D$2:D160,"&gt;0"),""))</f>
        <v/>
      </c>
    </row>
    <row r="161">
      <c r="D161" s="3">
        <f>IF(F161="","",MAX(0,M161-N161))</f>
        <v/>
      </c>
      <c r="H161" s="4" t="n"/>
      <c r="I161" s="3" t="n"/>
      <c r="J161" s="3" t="n"/>
      <c r="M161" s="3">
        <f>IF(F161="","",J161*K161)</f>
        <v/>
      </c>
      <c r="N161" s="3">
        <f>IF(F161="","",SUMIF(Abonos!$B$2:$B$5000,F161,Abonos!$C$2:$C$5000))</f>
        <v/>
      </c>
      <c r="O161">
        <f>IF(F161="","",MIN(K161,IF(TODAY()&lt;=H161,0,IF(L161="sí",TODAY()-H161,NETWORKDAYS.INTL(H161+1,TODAY(),11)))))</f>
        <v/>
      </c>
      <c r="P161" s="3">
        <f>IF(F161="","",O161*J161)</f>
        <v/>
      </c>
      <c r="Q161" s="3">
        <f>IF(F161="","",MAX(0,P161-N161))</f>
        <v/>
      </c>
      <c r="R161">
        <f>IF(F161="","",IF(N(J161)=0,0,ROUNDUP(Q161/J161,0)))</f>
        <v/>
      </c>
      <c r="S161" s="4">
        <f>IF(F161="","",IFERROR(1/(1/_xlfn.MAXIFS(Abonos!$A$2:$A$5000,Abonos!$B$2:$B$5000,F161)),""))</f>
        <v/>
      </c>
      <c r="T161">
        <f>IF(F161="","",IF(AND(G161='Ruta de hoy'!$B$4,N(D161)&gt;0),COUNTIFS($G$2:G161,'Ruta de hoy'!$B$4,$D$2:D161,"&gt;0"),""))</f>
        <v/>
      </c>
    </row>
    <row r="162">
      <c r="D162" s="3">
        <f>IF(F162="","",MAX(0,M162-N162))</f>
        <v/>
      </c>
      <c r="H162" s="4" t="n"/>
      <c r="I162" s="3" t="n"/>
      <c r="J162" s="3" t="n"/>
      <c r="M162" s="3">
        <f>IF(F162="","",J162*K162)</f>
        <v/>
      </c>
      <c r="N162" s="3">
        <f>IF(F162="","",SUMIF(Abonos!$B$2:$B$5000,F162,Abonos!$C$2:$C$5000))</f>
        <v/>
      </c>
      <c r="O162">
        <f>IF(F162="","",MIN(K162,IF(TODAY()&lt;=H162,0,IF(L162="sí",TODAY()-H162,NETWORKDAYS.INTL(H162+1,TODAY(),11)))))</f>
        <v/>
      </c>
      <c r="P162" s="3">
        <f>IF(F162="","",O162*J162)</f>
        <v/>
      </c>
      <c r="Q162" s="3">
        <f>IF(F162="","",MAX(0,P162-N162))</f>
        <v/>
      </c>
      <c r="R162">
        <f>IF(F162="","",IF(N(J162)=0,0,ROUNDUP(Q162/J162,0)))</f>
        <v/>
      </c>
      <c r="S162" s="4">
        <f>IF(F162="","",IFERROR(1/(1/_xlfn.MAXIFS(Abonos!$A$2:$A$5000,Abonos!$B$2:$B$5000,F162)),""))</f>
        <v/>
      </c>
      <c r="T162">
        <f>IF(F162="","",IF(AND(G162='Ruta de hoy'!$B$4,N(D162)&gt;0),COUNTIFS($G$2:G162,'Ruta de hoy'!$B$4,$D$2:D162,"&gt;0"),""))</f>
        <v/>
      </c>
    </row>
    <row r="163">
      <c r="D163" s="3">
        <f>IF(F163="","",MAX(0,M163-N163))</f>
        <v/>
      </c>
      <c r="H163" s="4" t="n"/>
      <c r="I163" s="3" t="n"/>
      <c r="J163" s="3" t="n"/>
      <c r="M163" s="3">
        <f>IF(F163="","",J163*K163)</f>
        <v/>
      </c>
      <c r="N163" s="3">
        <f>IF(F163="","",SUMIF(Abonos!$B$2:$B$5000,F163,Abonos!$C$2:$C$5000))</f>
        <v/>
      </c>
      <c r="O163">
        <f>IF(F163="","",MIN(K163,IF(TODAY()&lt;=H163,0,IF(L163="sí",TODAY()-H163,NETWORKDAYS.INTL(H163+1,TODAY(),11)))))</f>
        <v/>
      </c>
      <c r="P163" s="3">
        <f>IF(F163="","",O163*J163)</f>
        <v/>
      </c>
      <c r="Q163" s="3">
        <f>IF(F163="","",MAX(0,P163-N163))</f>
        <v/>
      </c>
      <c r="R163">
        <f>IF(F163="","",IF(N(J163)=0,0,ROUNDUP(Q163/J163,0)))</f>
        <v/>
      </c>
      <c r="S163" s="4">
        <f>IF(F163="","",IFERROR(1/(1/_xlfn.MAXIFS(Abonos!$A$2:$A$5000,Abonos!$B$2:$B$5000,F163)),""))</f>
        <v/>
      </c>
      <c r="T163">
        <f>IF(F163="","",IF(AND(G163='Ruta de hoy'!$B$4,N(D163)&gt;0),COUNTIFS($G$2:G163,'Ruta de hoy'!$B$4,$D$2:D163,"&gt;0"),""))</f>
        <v/>
      </c>
    </row>
    <row r="164">
      <c r="D164" s="3">
        <f>IF(F164="","",MAX(0,M164-N164))</f>
        <v/>
      </c>
      <c r="H164" s="4" t="n"/>
      <c r="I164" s="3" t="n"/>
      <c r="J164" s="3" t="n"/>
      <c r="M164" s="3">
        <f>IF(F164="","",J164*K164)</f>
        <v/>
      </c>
      <c r="N164" s="3">
        <f>IF(F164="","",SUMIF(Abonos!$B$2:$B$5000,F164,Abonos!$C$2:$C$5000))</f>
        <v/>
      </c>
      <c r="O164">
        <f>IF(F164="","",MIN(K164,IF(TODAY()&lt;=H164,0,IF(L164="sí",TODAY()-H164,NETWORKDAYS.INTL(H164+1,TODAY(),11)))))</f>
        <v/>
      </c>
      <c r="P164" s="3">
        <f>IF(F164="","",O164*J164)</f>
        <v/>
      </c>
      <c r="Q164" s="3">
        <f>IF(F164="","",MAX(0,P164-N164))</f>
        <v/>
      </c>
      <c r="R164">
        <f>IF(F164="","",IF(N(J164)=0,0,ROUNDUP(Q164/J164,0)))</f>
        <v/>
      </c>
      <c r="S164" s="4">
        <f>IF(F164="","",IFERROR(1/(1/_xlfn.MAXIFS(Abonos!$A$2:$A$5000,Abonos!$B$2:$B$5000,F164)),""))</f>
        <v/>
      </c>
      <c r="T164">
        <f>IF(F164="","",IF(AND(G164='Ruta de hoy'!$B$4,N(D164)&gt;0),COUNTIFS($G$2:G164,'Ruta de hoy'!$B$4,$D$2:D164,"&gt;0"),""))</f>
        <v/>
      </c>
    </row>
    <row r="165">
      <c r="D165" s="3">
        <f>IF(F165="","",MAX(0,M165-N165))</f>
        <v/>
      </c>
      <c r="H165" s="4" t="n"/>
      <c r="I165" s="3" t="n"/>
      <c r="J165" s="3" t="n"/>
      <c r="M165" s="3">
        <f>IF(F165="","",J165*K165)</f>
        <v/>
      </c>
      <c r="N165" s="3">
        <f>IF(F165="","",SUMIF(Abonos!$B$2:$B$5000,F165,Abonos!$C$2:$C$5000))</f>
        <v/>
      </c>
      <c r="O165">
        <f>IF(F165="","",MIN(K165,IF(TODAY()&lt;=H165,0,IF(L165="sí",TODAY()-H165,NETWORKDAYS.INTL(H165+1,TODAY(),11)))))</f>
        <v/>
      </c>
      <c r="P165" s="3">
        <f>IF(F165="","",O165*J165)</f>
        <v/>
      </c>
      <c r="Q165" s="3">
        <f>IF(F165="","",MAX(0,P165-N165))</f>
        <v/>
      </c>
      <c r="R165">
        <f>IF(F165="","",IF(N(J165)=0,0,ROUNDUP(Q165/J165,0)))</f>
        <v/>
      </c>
      <c r="S165" s="4">
        <f>IF(F165="","",IFERROR(1/(1/_xlfn.MAXIFS(Abonos!$A$2:$A$5000,Abonos!$B$2:$B$5000,F165)),""))</f>
        <v/>
      </c>
      <c r="T165">
        <f>IF(F165="","",IF(AND(G165='Ruta de hoy'!$B$4,N(D165)&gt;0),COUNTIFS($G$2:G165,'Ruta de hoy'!$B$4,$D$2:D165,"&gt;0"),""))</f>
        <v/>
      </c>
    </row>
    <row r="166">
      <c r="D166" s="3">
        <f>IF(F166="","",MAX(0,M166-N166))</f>
        <v/>
      </c>
      <c r="H166" s="4" t="n"/>
      <c r="I166" s="3" t="n"/>
      <c r="J166" s="3" t="n"/>
      <c r="M166" s="3">
        <f>IF(F166="","",J166*K166)</f>
        <v/>
      </c>
      <c r="N166" s="3">
        <f>IF(F166="","",SUMIF(Abonos!$B$2:$B$5000,F166,Abonos!$C$2:$C$5000))</f>
        <v/>
      </c>
      <c r="O166">
        <f>IF(F166="","",MIN(K166,IF(TODAY()&lt;=H166,0,IF(L166="sí",TODAY()-H166,NETWORKDAYS.INTL(H166+1,TODAY(),11)))))</f>
        <v/>
      </c>
      <c r="P166" s="3">
        <f>IF(F166="","",O166*J166)</f>
        <v/>
      </c>
      <c r="Q166" s="3">
        <f>IF(F166="","",MAX(0,P166-N166))</f>
        <v/>
      </c>
      <c r="R166">
        <f>IF(F166="","",IF(N(J166)=0,0,ROUNDUP(Q166/J166,0)))</f>
        <v/>
      </c>
      <c r="S166" s="4">
        <f>IF(F166="","",IFERROR(1/(1/_xlfn.MAXIFS(Abonos!$A$2:$A$5000,Abonos!$B$2:$B$5000,F166)),""))</f>
        <v/>
      </c>
      <c r="T166">
        <f>IF(F166="","",IF(AND(G166='Ruta de hoy'!$B$4,N(D166)&gt;0),COUNTIFS($G$2:G166,'Ruta de hoy'!$B$4,$D$2:D166,"&gt;0"),""))</f>
        <v/>
      </c>
    </row>
    <row r="167">
      <c r="D167" s="3">
        <f>IF(F167="","",MAX(0,M167-N167))</f>
        <v/>
      </c>
      <c r="H167" s="4" t="n"/>
      <c r="I167" s="3" t="n"/>
      <c r="J167" s="3" t="n"/>
      <c r="M167" s="3">
        <f>IF(F167="","",J167*K167)</f>
        <v/>
      </c>
      <c r="N167" s="3">
        <f>IF(F167="","",SUMIF(Abonos!$B$2:$B$5000,F167,Abonos!$C$2:$C$5000))</f>
        <v/>
      </c>
      <c r="O167">
        <f>IF(F167="","",MIN(K167,IF(TODAY()&lt;=H167,0,IF(L167="sí",TODAY()-H167,NETWORKDAYS.INTL(H167+1,TODAY(),11)))))</f>
        <v/>
      </c>
      <c r="P167" s="3">
        <f>IF(F167="","",O167*J167)</f>
        <v/>
      </c>
      <c r="Q167" s="3">
        <f>IF(F167="","",MAX(0,P167-N167))</f>
        <v/>
      </c>
      <c r="R167">
        <f>IF(F167="","",IF(N(J167)=0,0,ROUNDUP(Q167/J167,0)))</f>
        <v/>
      </c>
      <c r="S167" s="4">
        <f>IF(F167="","",IFERROR(1/(1/_xlfn.MAXIFS(Abonos!$A$2:$A$5000,Abonos!$B$2:$B$5000,F167)),""))</f>
        <v/>
      </c>
      <c r="T167">
        <f>IF(F167="","",IF(AND(G167='Ruta de hoy'!$B$4,N(D167)&gt;0),COUNTIFS($G$2:G167,'Ruta de hoy'!$B$4,$D$2:D167,"&gt;0"),""))</f>
        <v/>
      </c>
    </row>
    <row r="168">
      <c r="D168" s="3">
        <f>IF(F168="","",MAX(0,M168-N168))</f>
        <v/>
      </c>
      <c r="H168" s="4" t="n"/>
      <c r="I168" s="3" t="n"/>
      <c r="J168" s="3" t="n"/>
      <c r="M168" s="3">
        <f>IF(F168="","",J168*K168)</f>
        <v/>
      </c>
      <c r="N168" s="3">
        <f>IF(F168="","",SUMIF(Abonos!$B$2:$B$5000,F168,Abonos!$C$2:$C$5000))</f>
        <v/>
      </c>
      <c r="O168">
        <f>IF(F168="","",MIN(K168,IF(TODAY()&lt;=H168,0,IF(L168="sí",TODAY()-H168,NETWORKDAYS.INTL(H168+1,TODAY(),11)))))</f>
        <v/>
      </c>
      <c r="P168" s="3">
        <f>IF(F168="","",O168*J168)</f>
        <v/>
      </c>
      <c r="Q168" s="3">
        <f>IF(F168="","",MAX(0,P168-N168))</f>
        <v/>
      </c>
      <c r="R168">
        <f>IF(F168="","",IF(N(J168)=0,0,ROUNDUP(Q168/J168,0)))</f>
        <v/>
      </c>
      <c r="S168" s="4">
        <f>IF(F168="","",IFERROR(1/(1/_xlfn.MAXIFS(Abonos!$A$2:$A$5000,Abonos!$B$2:$B$5000,F168)),""))</f>
        <v/>
      </c>
      <c r="T168">
        <f>IF(F168="","",IF(AND(G168='Ruta de hoy'!$B$4,N(D168)&gt;0),COUNTIFS($G$2:G168,'Ruta de hoy'!$B$4,$D$2:D168,"&gt;0"),""))</f>
        <v/>
      </c>
    </row>
    <row r="169">
      <c r="D169" s="3">
        <f>IF(F169="","",MAX(0,M169-N169))</f>
        <v/>
      </c>
      <c r="H169" s="4" t="n"/>
      <c r="I169" s="3" t="n"/>
      <c r="J169" s="3" t="n"/>
      <c r="M169" s="3">
        <f>IF(F169="","",J169*K169)</f>
        <v/>
      </c>
      <c r="N169" s="3">
        <f>IF(F169="","",SUMIF(Abonos!$B$2:$B$5000,F169,Abonos!$C$2:$C$5000))</f>
        <v/>
      </c>
      <c r="O169">
        <f>IF(F169="","",MIN(K169,IF(TODAY()&lt;=H169,0,IF(L169="sí",TODAY()-H169,NETWORKDAYS.INTL(H169+1,TODAY(),11)))))</f>
        <v/>
      </c>
      <c r="P169" s="3">
        <f>IF(F169="","",O169*J169)</f>
        <v/>
      </c>
      <c r="Q169" s="3">
        <f>IF(F169="","",MAX(0,P169-N169))</f>
        <v/>
      </c>
      <c r="R169">
        <f>IF(F169="","",IF(N(J169)=0,0,ROUNDUP(Q169/J169,0)))</f>
        <v/>
      </c>
      <c r="S169" s="4">
        <f>IF(F169="","",IFERROR(1/(1/_xlfn.MAXIFS(Abonos!$A$2:$A$5000,Abonos!$B$2:$B$5000,F169)),""))</f>
        <v/>
      </c>
      <c r="T169">
        <f>IF(F169="","",IF(AND(G169='Ruta de hoy'!$B$4,N(D169)&gt;0),COUNTIFS($G$2:G169,'Ruta de hoy'!$B$4,$D$2:D169,"&gt;0"),""))</f>
        <v/>
      </c>
    </row>
    <row r="170">
      <c r="D170" s="3">
        <f>IF(F170="","",MAX(0,M170-N170))</f>
        <v/>
      </c>
      <c r="H170" s="4" t="n"/>
      <c r="I170" s="3" t="n"/>
      <c r="J170" s="3" t="n"/>
      <c r="M170" s="3">
        <f>IF(F170="","",J170*K170)</f>
        <v/>
      </c>
      <c r="N170" s="3">
        <f>IF(F170="","",SUMIF(Abonos!$B$2:$B$5000,F170,Abonos!$C$2:$C$5000))</f>
        <v/>
      </c>
      <c r="O170">
        <f>IF(F170="","",MIN(K170,IF(TODAY()&lt;=H170,0,IF(L170="sí",TODAY()-H170,NETWORKDAYS.INTL(H170+1,TODAY(),11)))))</f>
        <v/>
      </c>
      <c r="P170" s="3">
        <f>IF(F170="","",O170*J170)</f>
        <v/>
      </c>
      <c r="Q170" s="3">
        <f>IF(F170="","",MAX(0,P170-N170))</f>
        <v/>
      </c>
      <c r="R170">
        <f>IF(F170="","",IF(N(J170)=0,0,ROUNDUP(Q170/J170,0)))</f>
        <v/>
      </c>
      <c r="S170" s="4">
        <f>IF(F170="","",IFERROR(1/(1/_xlfn.MAXIFS(Abonos!$A$2:$A$5000,Abonos!$B$2:$B$5000,F170)),""))</f>
        <v/>
      </c>
      <c r="T170">
        <f>IF(F170="","",IF(AND(G170='Ruta de hoy'!$B$4,N(D170)&gt;0),COUNTIFS($G$2:G170,'Ruta de hoy'!$B$4,$D$2:D170,"&gt;0"),""))</f>
        <v/>
      </c>
    </row>
    <row r="171">
      <c r="D171" s="3">
        <f>IF(F171="","",MAX(0,M171-N171))</f>
        <v/>
      </c>
      <c r="H171" s="4" t="n"/>
      <c r="I171" s="3" t="n"/>
      <c r="J171" s="3" t="n"/>
      <c r="M171" s="3">
        <f>IF(F171="","",J171*K171)</f>
        <v/>
      </c>
      <c r="N171" s="3">
        <f>IF(F171="","",SUMIF(Abonos!$B$2:$B$5000,F171,Abonos!$C$2:$C$5000))</f>
        <v/>
      </c>
      <c r="O171">
        <f>IF(F171="","",MIN(K171,IF(TODAY()&lt;=H171,0,IF(L171="sí",TODAY()-H171,NETWORKDAYS.INTL(H171+1,TODAY(),11)))))</f>
        <v/>
      </c>
      <c r="P171" s="3">
        <f>IF(F171="","",O171*J171)</f>
        <v/>
      </c>
      <c r="Q171" s="3">
        <f>IF(F171="","",MAX(0,P171-N171))</f>
        <v/>
      </c>
      <c r="R171">
        <f>IF(F171="","",IF(N(J171)=0,0,ROUNDUP(Q171/J171,0)))</f>
        <v/>
      </c>
      <c r="S171" s="4">
        <f>IF(F171="","",IFERROR(1/(1/_xlfn.MAXIFS(Abonos!$A$2:$A$5000,Abonos!$B$2:$B$5000,F171)),""))</f>
        <v/>
      </c>
      <c r="T171">
        <f>IF(F171="","",IF(AND(G171='Ruta de hoy'!$B$4,N(D171)&gt;0),COUNTIFS($G$2:G171,'Ruta de hoy'!$B$4,$D$2:D171,"&gt;0"),""))</f>
        <v/>
      </c>
    </row>
    <row r="172">
      <c r="D172" s="3">
        <f>IF(F172="","",MAX(0,M172-N172))</f>
        <v/>
      </c>
      <c r="H172" s="4" t="n"/>
      <c r="I172" s="3" t="n"/>
      <c r="J172" s="3" t="n"/>
      <c r="M172" s="3">
        <f>IF(F172="","",J172*K172)</f>
        <v/>
      </c>
      <c r="N172" s="3">
        <f>IF(F172="","",SUMIF(Abonos!$B$2:$B$5000,F172,Abonos!$C$2:$C$5000))</f>
        <v/>
      </c>
      <c r="O172">
        <f>IF(F172="","",MIN(K172,IF(TODAY()&lt;=H172,0,IF(L172="sí",TODAY()-H172,NETWORKDAYS.INTL(H172+1,TODAY(),11)))))</f>
        <v/>
      </c>
      <c r="P172" s="3">
        <f>IF(F172="","",O172*J172)</f>
        <v/>
      </c>
      <c r="Q172" s="3">
        <f>IF(F172="","",MAX(0,P172-N172))</f>
        <v/>
      </c>
      <c r="R172">
        <f>IF(F172="","",IF(N(J172)=0,0,ROUNDUP(Q172/J172,0)))</f>
        <v/>
      </c>
      <c r="S172" s="4">
        <f>IF(F172="","",IFERROR(1/(1/_xlfn.MAXIFS(Abonos!$A$2:$A$5000,Abonos!$B$2:$B$5000,F172)),""))</f>
        <v/>
      </c>
      <c r="T172">
        <f>IF(F172="","",IF(AND(G172='Ruta de hoy'!$B$4,N(D172)&gt;0),COUNTIFS($G$2:G172,'Ruta de hoy'!$B$4,$D$2:D172,"&gt;0"),""))</f>
        <v/>
      </c>
    </row>
    <row r="173">
      <c r="D173" s="3">
        <f>IF(F173="","",MAX(0,M173-N173))</f>
        <v/>
      </c>
      <c r="H173" s="4" t="n"/>
      <c r="I173" s="3" t="n"/>
      <c r="J173" s="3" t="n"/>
      <c r="M173" s="3">
        <f>IF(F173="","",J173*K173)</f>
        <v/>
      </c>
      <c r="N173" s="3">
        <f>IF(F173="","",SUMIF(Abonos!$B$2:$B$5000,F173,Abonos!$C$2:$C$5000))</f>
        <v/>
      </c>
      <c r="O173">
        <f>IF(F173="","",MIN(K173,IF(TODAY()&lt;=H173,0,IF(L173="sí",TODAY()-H173,NETWORKDAYS.INTL(H173+1,TODAY(),11)))))</f>
        <v/>
      </c>
      <c r="P173" s="3">
        <f>IF(F173="","",O173*J173)</f>
        <v/>
      </c>
      <c r="Q173" s="3">
        <f>IF(F173="","",MAX(0,P173-N173))</f>
        <v/>
      </c>
      <c r="R173">
        <f>IF(F173="","",IF(N(J173)=0,0,ROUNDUP(Q173/J173,0)))</f>
        <v/>
      </c>
      <c r="S173" s="4">
        <f>IF(F173="","",IFERROR(1/(1/_xlfn.MAXIFS(Abonos!$A$2:$A$5000,Abonos!$B$2:$B$5000,F173)),""))</f>
        <v/>
      </c>
      <c r="T173">
        <f>IF(F173="","",IF(AND(G173='Ruta de hoy'!$B$4,N(D173)&gt;0),COUNTIFS($G$2:G173,'Ruta de hoy'!$B$4,$D$2:D173,"&gt;0"),""))</f>
        <v/>
      </c>
    </row>
    <row r="174">
      <c r="D174" s="3">
        <f>IF(F174="","",MAX(0,M174-N174))</f>
        <v/>
      </c>
      <c r="H174" s="4" t="n"/>
      <c r="I174" s="3" t="n"/>
      <c r="J174" s="3" t="n"/>
      <c r="M174" s="3">
        <f>IF(F174="","",J174*K174)</f>
        <v/>
      </c>
      <c r="N174" s="3">
        <f>IF(F174="","",SUMIF(Abonos!$B$2:$B$5000,F174,Abonos!$C$2:$C$5000))</f>
        <v/>
      </c>
      <c r="O174">
        <f>IF(F174="","",MIN(K174,IF(TODAY()&lt;=H174,0,IF(L174="sí",TODAY()-H174,NETWORKDAYS.INTL(H174+1,TODAY(),11)))))</f>
        <v/>
      </c>
      <c r="P174" s="3">
        <f>IF(F174="","",O174*J174)</f>
        <v/>
      </c>
      <c r="Q174" s="3">
        <f>IF(F174="","",MAX(0,P174-N174))</f>
        <v/>
      </c>
      <c r="R174">
        <f>IF(F174="","",IF(N(J174)=0,0,ROUNDUP(Q174/J174,0)))</f>
        <v/>
      </c>
      <c r="S174" s="4">
        <f>IF(F174="","",IFERROR(1/(1/_xlfn.MAXIFS(Abonos!$A$2:$A$5000,Abonos!$B$2:$B$5000,F174)),""))</f>
        <v/>
      </c>
      <c r="T174">
        <f>IF(F174="","",IF(AND(G174='Ruta de hoy'!$B$4,N(D174)&gt;0),COUNTIFS($G$2:G174,'Ruta de hoy'!$B$4,$D$2:D174,"&gt;0"),""))</f>
        <v/>
      </c>
    </row>
    <row r="175">
      <c r="D175" s="3">
        <f>IF(F175="","",MAX(0,M175-N175))</f>
        <v/>
      </c>
      <c r="H175" s="4" t="n"/>
      <c r="I175" s="3" t="n"/>
      <c r="J175" s="3" t="n"/>
      <c r="M175" s="3">
        <f>IF(F175="","",J175*K175)</f>
        <v/>
      </c>
      <c r="N175" s="3">
        <f>IF(F175="","",SUMIF(Abonos!$B$2:$B$5000,F175,Abonos!$C$2:$C$5000))</f>
        <v/>
      </c>
      <c r="O175">
        <f>IF(F175="","",MIN(K175,IF(TODAY()&lt;=H175,0,IF(L175="sí",TODAY()-H175,NETWORKDAYS.INTL(H175+1,TODAY(),11)))))</f>
        <v/>
      </c>
      <c r="P175" s="3">
        <f>IF(F175="","",O175*J175)</f>
        <v/>
      </c>
      <c r="Q175" s="3">
        <f>IF(F175="","",MAX(0,P175-N175))</f>
        <v/>
      </c>
      <c r="R175">
        <f>IF(F175="","",IF(N(J175)=0,0,ROUNDUP(Q175/J175,0)))</f>
        <v/>
      </c>
      <c r="S175" s="4">
        <f>IF(F175="","",IFERROR(1/(1/_xlfn.MAXIFS(Abonos!$A$2:$A$5000,Abonos!$B$2:$B$5000,F175)),""))</f>
        <v/>
      </c>
      <c r="T175">
        <f>IF(F175="","",IF(AND(G175='Ruta de hoy'!$B$4,N(D175)&gt;0),COUNTIFS($G$2:G175,'Ruta de hoy'!$B$4,$D$2:D175,"&gt;0"),""))</f>
        <v/>
      </c>
    </row>
    <row r="176">
      <c r="D176" s="3">
        <f>IF(F176="","",MAX(0,M176-N176))</f>
        <v/>
      </c>
      <c r="H176" s="4" t="n"/>
      <c r="I176" s="3" t="n"/>
      <c r="J176" s="3" t="n"/>
      <c r="M176" s="3">
        <f>IF(F176="","",J176*K176)</f>
        <v/>
      </c>
      <c r="N176" s="3">
        <f>IF(F176="","",SUMIF(Abonos!$B$2:$B$5000,F176,Abonos!$C$2:$C$5000))</f>
        <v/>
      </c>
      <c r="O176">
        <f>IF(F176="","",MIN(K176,IF(TODAY()&lt;=H176,0,IF(L176="sí",TODAY()-H176,NETWORKDAYS.INTL(H176+1,TODAY(),11)))))</f>
        <v/>
      </c>
      <c r="P176" s="3">
        <f>IF(F176="","",O176*J176)</f>
        <v/>
      </c>
      <c r="Q176" s="3">
        <f>IF(F176="","",MAX(0,P176-N176))</f>
        <v/>
      </c>
      <c r="R176">
        <f>IF(F176="","",IF(N(J176)=0,0,ROUNDUP(Q176/J176,0)))</f>
        <v/>
      </c>
      <c r="S176" s="4">
        <f>IF(F176="","",IFERROR(1/(1/_xlfn.MAXIFS(Abonos!$A$2:$A$5000,Abonos!$B$2:$B$5000,F176)),""))</f>
        <v/>
      </c>
      <c r="T176">
        <f>IF(F176="","",IF(AND(G176='Ruta de hoy'!$B$4,N(D176)&gt;0),COUNTIFS($G$2:G176,'Ruta de hoy'!$B$4,$D$2:D176,"&gt;0"),""))</f>
        <v/>
      </c>
    </row>
    <row r="177">
      <c r="D177" s="3">
        <f>IF(F177="","",MAX(0,M177-N177))</f>
        <v/>
      </c>
      <c r="H177" s="4" t="n"/>
      <c r="I177" s="3" t="n"/>
      <c r="J177" s="3" t="n"/>
      <c r="M177" s="3">
        <f>IF(F177="","",J177*K177)</f>
        <v/>
      </c>
      <c r="N177" s="3">
        <f>IF(F177="","",SUMIF(Abonos!$B$2:$B$5000,F177,Abonos!$C$2:$C$5000))</f>
        <v/>
      </c>
      <c r="O177">
        <f>IF(F177="","",MIN(K177,IF(TODAY()&lt;=H177,0,IF(L177="sí",TODAY()-H177,NETWORKDAYS.INTL(H177+1,TODAY(),11)))))</f>
        <v/>
      </c>
      <c r="P177" s="3">
        <f>IF(F177="","",O177*J177)</f>
        <v/>
      </c>
      <c r="Q177" s="3">
        <f>IF(F177="","",MAX(0,P177-N177))</f>
        <v/>
      </c>
      <c r="R177">
        <f>IF(F177="","",IF(N(J177)=0,0,ROUNDUP(Q177/J177,0)))</f>
        <v/>
      </c>
      <c r="S177" s="4">
        <f>IF(F177="","",IFERROR(1/(1/_xlfn.MAXIFS(Abonos!$A$2:$A$5000,Abonos!$B$2:$B$5000,F177)),""))</f>
        <v/>
      </c>
      <c r="T177">
        <f>IF(F177="","",IF(AND(G177='Ruta de hoy'!$B$4,N(D177)&gt;0),COUNTIFS($G$2:G177,'Ruta de hoy'!$B$4,$D$2:D177,"&gt;0"),""))</f>
        <v/>
      </c>
    </row>
    <row r="178">
      <c r="D178" s="3">
        <f>IF(F178="","",MAX(0,M178-N178))</f>
        <v/>
      </c>
      <c r="H178" s="4" t="n"/>
      <c r="I178" s="3" t="n"/>
      <c r="J178" s="3" t="n"/>
      <c r="M178" s="3">
        <f>IF(F178="","",J178*K178)</f>
        <v/>
      </c>
      <c r="N178" s="3">
        <f>IF(F178="","",SUMIF(Abonos!$B$2:$B$5000,F178,Abonos!$C$2:$C$5000))</f>
        <v/>
      </c>
      <c r="O178">
        <f>IF(F178="","",MIN(K178,IF(TODAY()&lt;=H178,0,IF(L178="sí",TODAY()-H178,NETWORKDAYS.INTL(H178+1,TODAY(),11)))))</f>
        <v/>
      </c>
      <c r="P178" s="3">
        <f>IF(F178="","",O178*J178)</f>
        <v/>
      </c>
      <c r="Q178" s="3">
        <f>IF(F178="","",MAX(0,P178-N178))</f>
        <v/>
      </c>
      <c r="R178">
        <f>IF(F178="","",IF(N(J178)=0,0,ROUNDUP(Q178/J178,0)))</f>
        <v/>
      </c>
      <c r="S178" s="4">
        <f>IF(F178="","",IFERROR(1/(1/_xlfn.MAXIFS(Abonos!$A$2:$A$5000,Abonos!$B$2:$B$5000,F178)),""))</f>
        <v/>
      </c>
      <c r="T178">
        <f>IF(F178="","",IF(AND(G178='Ruta de hoy'!$B$4,N(D178)&gt;0),COUNTIFS($G$2:G178,'Ruta de hoy'!$B$4,$D$2:D178,"&gt;0"),""))</f>
        <v/>
      </c>
    </row>
    <row r="179">
      <c r="D179" s="3">
        <f>IF(F179="","",MAX(0,M179-N179))</f>
        <v/>
      </c>
      <c r="H179" s="4" t="n"/>
      <c r="I179" s="3" t="n"/>
      <c r="J179" s="3" t="n"/>
      <c r="M179" s="3">
        <f>IF(F179="","",J179*K179)</f>
        <v/>
      </c>
      <c r="N179" s="3">
        <f>IF(F179="","",SUMIF(Abonos!$B$2:$B$5000,F179,Abonos!$C$2:$C$5000))</f>
        <v/>
      </c>
      <c r="O179">
        <f>IF(F179="","",MIN(K179,IF(TODAY()&lt;=H179,0,IF(L179="sí",TODAY()-H179,NETWORKDAYS.INTL(H179+1,TODAY(),11)))))</f>
        <v/>
      </c>
      <c r="P179" s="3">
        <f>IF(F179="","",O179*J179)</f>
        <v/>
      </c>
      <c r="Q179" s="3">
        <f>IF(F179="","",MAX(0,P179-N179))</f>
        <v/>
      </c>
      <c r="R179">
        <f>IF(F179="","",IF(N(J179)=0,0,ROUNDUP(Q179/J179,0)))</f>
        <v/>
      </c>
      <c r="S179" s="4">
        <f>IF(F179="","",IFERROR(1/(1/_xlfn.MAXIFS(Abonos!$A$2:$A$5000,Abonos!$B$2:$B$5000,F179)),""))</f>
        <v/>
      </c>
      <c r="T179">
        <f>IF(F179="","",IF(AND(G179='Ruta de hoy'!$B$4,N(D179)&gt;0),COUNTIFS($G$2:G179,'Ruta de hoy'!$B$4,$D$2:D179,"&gt;0"),""))</f>
        <v/>
      </c>
    </row>
    <row r="180">
      <c r="D180" s="3">
        <f>IF(F180="","",MAX(0,M180-N180))</f>
        <v/>
      </c>
      <c r="H180" s="4" t="n"/>
      <c r="I180" s="3" t="n"/>
      <c r="J180" s="3" t="n"/>
      <c r="M180" s="3">
        <f>IF(F180="","",J180*K180)</f>
        <v/>
      </c>
      <c r="N180" s="3">
        <f>IF(F180="","",SUMIF(Abonos!$B$2:$B$5000,F180,Abonos!$C$2:$C$5000))</f>
        <v/>
      </c>
      <c r="O180">
        <f>IF(F180="","",MIN(K180,IF(TODAY()&lt;=H180,0,IF(L180="sí",TODAY()-H180,NETWORKDAYS.INTL(H180+1,TODAY(),11)))))</f>
        <v/>
      </c>
      <c r="P180" s="3">
        <f>IF(F180="","",O180*J180)</f>
        <v/>
      </c>
      <c r="Q180" s="3">
        <f>IF(F180="","",MAX(0,P180-N180))</f>
        <v/>
      </c>
      <c r="R180">
        <f>IF(F180="","",IF(N(J180)=0,0,ROUNDUP(Q180/J180,0)))</f>
        <v/>
      </c>
      <c r="S180" s="4">
        <f>IF(F180="","",IFERROR(1/(1/_xlfn.MAXIFS(Abonos!$A$2:$A$5000,Abonos!$B$2:$B$5000,F180)),""))</f>
        <v/>
      </c>
      <c r="T180">
        <f>IF(F180="","",IF(AND(G180='Ruta de hoy'!$B$4,N(D180)&gt;0),COUNTIFS($G$2:G180,'Ruta de hoy'!$B$4,$D$2:D180,"&gt;0"),""))</f>
        <v/>
      </c>
    </row>
    <row r="181">
      <c r="D181" s="3">
        <f>IF(F181="","",MAX(0,M181-N181))</f>
        <v/>
      </c>
      <c r="H181" s="4" t="n"/>
      <c r="I181" s="3" t="n"/>
      <c r="J181" s="3" t="n"/>
      <c r="M181" s="3">
        <f>IF(F181="","",J181*K181)</f>
        <v/>
      </c>
      <c r="N181" s="3">
        <f>IF(F181="","",SUMIF(Abonos!$B$2:$B$5000,F181,Abonos!$C$2:$C$5000))</f>
        <v/>
      </c>
      <c r="O181">
        <f>IF(F181="","",MIN(K181,IF(TODAY()&lt;=H181,0,IF(L181="sí",TODAY()-H181,NETWORKDAYS.INTL(H181+1,TODAY(),11)))))</f>
        <v/>
      </c>
      <c r="P181" s="3">
        <f>IF(F181="","",O181*J181)</f>
        <v/>
      </c>
      <c r="Q181" s="3">
        <f>IF(F181="","",MAX(0,P181-N181))</f>
        <v/>
      </c>
      <c r="R181">
        <f>IF(F181="","",IF(N(J181)=0,0,ROUNDUP(Q181/J181,0)))</f>
        <v/>
      </c>
      <c r="S181" s="4">
        <f>IF(F181="","",IFERROR(1/(1/_xlfn.MAXIFS(Abonos!$A$2:$A$5000,Abonos!$B$2:$B$5000,F181)),""))</f>
        <v/>
      </c>
      <c r="T181">
        <f>IF(F181="","",IF(AND(G181='Ruta de hoy'!$B$4,N(D181)&gt;0),COUNTIFS($G$2:G181,'Ruta de hoy'!$B$4,$D$2:D181,"&gt;0"),""))</f>
        <v/>
      </c>
    </row>
    <row r="182">
      <c r="D182" s="3">
        <f>IF(F182="","",MAX(0,M182-N182))</f>
        <v/>
      </c>
      <c r="H182" s="4" t="n"/>
      <c r="I182" s="3" t="n"/>
      <c r="J182" s="3" t="n"/>
      <c r="M182" s="3">
        <f>IF(F182="","",J182*K182)</f>
        <v/>
      </c>
      <c r="N182" s="3">
        <f>IF(F182="","",SUMIF(Abonos!$B$2:$B$5000,F182,Abonos!$C$2:$C$5000))</f>
        <v/>
      </c>
      <c r="O182">
        <f>IF(F182="","",MIN(K182,IF(TODAY()&lt;=H182,0,IF(L182="sí",TODAY()-H182,NETWORKDAYS.INTL(H182+1,TODAY(),11)))))</f>
        <v/>
      </c>
      <c r="P182" s="3">
        <f>IF(F182="","",O182*J182)</f>
        <v/>
      </c>
      <c r="Q182" s="3">
        <f>IF(F182="","",MAX(0,P182-N182))</f>
        <v/>
      </c>
      <c r="R182">
        <f>IF(F182="","",IF(N(J182)=0,0,ROUNDUP(Q182/J182,0)))</f>
        <v/>
      </c>
      <c r="S182" s="4">
        <f>IF(F182="","",IFERROR(1/(1/_xlfn.MAXIFS(Abonos!$A$2:$A$5000,Abonos!$B$2:$B$5000,F182)),""))</f>
        <v/>
      </c>
      <c r="T182">
        <f>IF(F182="","",IF(AND(G182='Ruta de hoy'!$B$4,N(D182)&gt;0),COUNTIFS($G$2:G182,'Ruta de hoy'!$B$4,$D$2:D182,"&gt;0"),""))</f>
        <v/>
      </c>
    </row>
    <row r="183">
      <c r="D183" s="3">
        <f>IF(F183="","",MAX(0,M183-N183))</f>
        <v/>
      </c>
      <c r="H183" s="4" t="n"/>
      <c r="I183" s="3" t="n"/>
      <c r="J183" s="3" t="n"/>
      <c r="M183" s="3">
        <f>IF(F183="","",J183*K183)</f>
        <v/>
      </c>
      <c r="N183" s="3">
        <f>IF(F183="","",SUMIF(Abonos!$B$2:$B$5000,F183,Abonos!$C$2:$C$5000))</f>
        <v/>
      </c>
      <c r="O183">
        <f>IF(F183="","",MIN(K183,IF(TODAY()&lt;=H183,0,IF(L183="sí",TODAY()-H183,NETWORKDAYS.INTL(H183+1,TODAY(),11)))))</f>
        <v/>
      </c>
      <c r="P183" s="3">
        <f>IF(F183="","",O183*J183)</f>
        <v/>
      </c>
      <c r="Q183" s="3">
        <f>IF(F183="","",MAX(0,P183-N183))</f>
        <v/>
      </c>
      <c r="R183">
        <f>IF(F183="","",IF(N(J183)=0,0,ROUNDUP(Q183/J183,0)))</f>
        <v/>
      </c>
      <c r="S183" s="4">
        <f>IF(F183="","",IFERROR(1/(1/_xlfn.MAXIFS(Abonos!$A$2:$A$5000,Abonos!$B$2:$B$5000,F183)),""))</f>
        <v/>
      </c>
      <c r="T183">
        <f>IF(F183="","",IF(AND(G183='Ruta de hoy'!$B$4,N(D183)&gt;0),COUNTIFS($G$2:G183,'Ruta de hoy'!$B$4,$D$2:D183,"&gt;0"),""))</f>
        <v/>
      </c>
    </row>
    <row r="184">
      <c r="D184" s="3">
        <f>IF(F184="","",MAX(0,M184-N184))</f>
        <v/>
      </c>
      <c r="H184" s="4" t="n"/>
      <c r="I184" s="3" t="n"/>
      <c r="J184" s="3" t="n"/>
      <c r="M184" s="3">
        <f>IF(F184="","",J184*K184)</f>
        <v/>
      </c>
      <c r="N184" s="3">
        <f>IF(F184="","",SUMIF(Abonos!$B$2:$B$5000,F184,Abonos!$C$2:$C$5000))</f>
        <v/>
      </c>
      <c r="O184">
        <f>IF(F184="","",MIN(K184,IF(TODAY()&lt;=H184,0,IF(L184="sí",TODAY()-H184,NETWORKDAYS.INTL(H184+1,TODAY(),11)))))</f>
        <v/>
      </c>
      <c r="P184" s="3">
        <f>IF(F184="","",O184*J184)</f>
        <v/>
      </c>
      <c r="Q184" s="3">
        <f>IF(F184="","",MAX(0,P184-N184))</f>
        <v/>
      </c>
      <c r="R184">
        <f>IF(F184="","",IF(N(J184)=0,0,ROUNDUP(Q184/J184,0)))</f>
        <v/>
      </c>
      <c r="S184" s="4">
        <f>IF(F184="","",IFERROR(1/(1/_xlfn.MAXIFS(Abonos!$A$2:$A$5000,Abonos!$B$2:$B$5000,F184)),""))</f>
        <v/>
      </c>
      <c r="T184">
        <f>IF(F184="","",IF(AND(G184='Ruta de hoy'!$B$4,N(D184)&gt;0),COUNTIFS($G$2:G184,'Ruta de hoy'!$B$4,$D$2:D184,"&gt;0"),""))</f>
        <v/>
      </c>
    </row>
    <row r="185">
      <c r="D185" s="3">
        <f>IF(F185="","",MAX(0,M185-N185))</f>
        <v/>
      </c>
      <c r="H185" s="4" t="n"/>
      <c r="I185" s="3" t="n"/>
      <c r="J185" s="3" t="n"/>
      <c r="M185" s="3">
        <f>IF(F185="","",J185*K185)</f>
        <v/>
      </c>
      <c r="N185" s="3">
        <f>IF(F185="","",SUMIF(Abonos!$B$2:$B$5000,F185,Abonos!$C$2:$C$5000))</f>
        <v/>
      </c>
      <c r="O185">
        <f>IF(F185="","",MIN(K185,IF(TODAY()&lt;=H185,0,IF(L185="sí",TODAY()-H185,NETWORKDAYS.INTL(H185+1,TODAY(),11)))))</f>
        <v/>
      </c>
      <c r="P185" s="3">
        <f>IF(F185="","",O185*J185)</f>
        <v/>
      </c>
      <c r="Q185" s="3">
        <f>IF(F185="","",MAX(0,P185-N185))</f>
        <v/>
      </c>
      <c r="R185">
        <f>IF(F185="","",IF(N(J185)=0,0,ROUNDUP(Q185/J185,0)))</f>
        <v/>
      </c>
      <c r="S185" s="4">
        <f>IF(F185="","",IFERROR(1/(1/_xlfn.MAXIFS(Abonos!$A$2:$A$5000,Abonos!$B$2:$B$5000,F185)),""))</f>
        <v/>
      </c>
      <c r="T185">
        <f>IF(F185="","",IF(AND(G185='Ruta de hoy'!$B$4,N(D185)&gt;0),COUNTIFS($G$2:G185,'Ruta de hoy'!$B$4,$D$2:D185,"&gt;0"),""))</f>
        <v/>
      </c>
    </row>
    <row r="186">
      <c r="D186" s="3">
        <f>IF(F186="","",MAX(0,M186-N186))</f>
        <v/>
      </c>
      <c r="H186" s="4" t="n"/>
      <c r="I186" s="3" t="n"/>
      <c r="J186" s="3" t="n"/>
      <c r="M186" s="3">
        <f>IF(F186="","",J186*K186)</f>
        <v/>
      </c>
      <c r="N186" s="3">
        <f>IF(F186="","",SUMIF(Abonos!$B$2:$B$5000,F186,Abonos!$C$2:$C$5000))</f>
        <v/>
      </c>
      <c r="O186">
        <f>IF(F186="","",MIN(K186,IF(TODAY()&lt;=H186,0,IF(L186="sí",TODAY()-H186,NETWORKDAYS.INTL(H186+1,TODAY(),11)))))</f>
        <v/>
      </c>
      <c r="P186" s="3">
        <f>IF(F186="","",O186*J186)</f>
        <v/>
      </c>
      <c r="Q186" s="3">
        <f>IF(F186="","",MAX(0,P186-N186))</f>
        <v/>
      </c>
      <c r="R186">
        <f>IF(F186="","",IF(N(J186)=0,0,ROUNDUP(Q186/J186,0)))</f>
        <v/>
      </c>
      <c r="S186" s="4">
        <f>IF(F186="","",IFERROR(1/(1/_xlfn.MAXIFS(Abonos!$A$2:$A$5000,Abonos!$B$2:$B$5000,F186)),""))</f>
        <v/>
      </c>
      <c r="T186">
        <f>IF(F186="","",IF(AND(G186='Ruta de hoy'!$B$4,N(D186)&gt;0),COUNTIFS($G$2:G186,'Ruta de hoy'!$B$4,$D$2:D186,"&gt;0"),""))</f>
        <v/>
      </c>
    </row>
    <row r="187">
      <c r="D187" s="3">
        <f>IF(F187="","",MAX(0,M187-N187))</f>
        <v/>
      </c>
      <c r="H187" s="4" t="n"/>
      <c r="I187" s="3" t="n"/>
      <c r="J187" s="3" t="n"/>
      <c r="M187" s="3">
        <f>IF(F187="","",J187*K187)</f>
        <v/>
      </c>
      <c r="N187" s="3">
        <f>IF(F187="","",SUMIF(Abonos!$B$2:$B$5000,F187,Abonos!$C$2:$C$5000))</f>
        <v/>
      </c>
      <c r="O187">
        <f>IF(F187="","",MIN(K187,IF(TODAY()&lt;=H187,0,IF(L187="sí",TODAY()-H187,NETWORKDAYS.INTL(H187+1,TODAY(),11)))))</f>
        <v/>
      </c>
      <c r="P187" s="3">
        <f>IF(F187="","",O187*J187)</f>
        <v/>
      </c>
      <c r="Q187" s="3">
        <f>IF(F187="","",MAX(0,P187-N187))</f>
        <v/>
      </c>
      <c r="R187">
        <f>IF(F187="","",IF(N(J187)=0,0,ROUNDUP(Q187/J187,0)))</f>
        <v/>
      </c>
      <c r="S187" s="4">
        <f>IF(F187="","",IFERROR(1/(1/_xlfn.MAXIFS(Abonos!$A$2:$A$5000,Abonos!$B$2:$B$5000,F187)),""))</f>
        <v/>
      </c>
      <c r="T187">
        <f>IF(F187="","",IF(AND(G187='Ruta de hoy'!$B$4,N(D187)&gt;0),COUNTIFS($G$2:G187,'Ruta de hoy'!$B$4,$D$2:D187,"&gt;0"),""))</f>
        <v/>
      </c>
    </row>
    <row r="188">
      <c r="D188" s="3">
        <f>IF(F188="","",MAX(0,M188-N188))</f>
        <v/>
      </c>
      <c r="H188" s="4" t="n"/>
      <c r="I188" s="3" t="n"/>
      <c r="J188" s="3" t="n"/>
      <c r="M188" s="3">
        <f>IF(F188="","",J188*K188)</f>
        <v/>
      </c>
      <c r="N188" s="3">
        <f>IF(F188="","",SUMIF(Abonos!$B$2:$B$5000,F188,Abonos!$C$2:$C$5000))</f>
        <v/>
      </c>
      <c r="O188">
        <f>IF(F188="","",MIN(K188,IF(TODAY()&lt;=H188,0,IF(L188="sí",TODAY()-H188,NETWORKDAYS.INTL(H188+1,TODAY(),11)))))</f>
        <v/>
      </c>
      <c r="P188" s="3">
        <f>IF(F188="","",O188*J188)</f>
        <v/>
      </c>
      <c r="Q188" s="3">
        <f>IF(F188="","",MAX(0,P188-N188))</f>
        <v/>
      </c>
      <c r="R188">
        <f>IF(F188="","",IF(N(J188)=0,0,ROUNDUP(Q188/J188,0)))</f>
        <v/>
      </c>
      <c r="S188" s="4">
        <f>IF(F188="","",IFERROR(1/(1/_xlfn.MAXIFS(Abonos!$A$2:$A$5000,Abonos!$B$2:$B$5000,F188)),""))</f>
        <v/>
      </c>
      <c r="T188">
        <f>IF(F188="","",IF(AND(G188='Ruta de hoy'!$B$4,N(D188)&gt;0),COUNTIFS($G$2:G188,'Ruta de hoy'!$B$4,$D$2:D188,"&gt;0"),""))</f>
        <v/>
      </c>
    </row>
    <row r="189">
      <c r="D189" s="3">
        <f>IF(F189="","",MAX(0,M189-N189))</f>
        <v/>
      </c>
      <c r="H189" s="4" t="n"/>
      <c r="I189" s="3" t="n"/>
      <c r="J189" s="3" t="n"/>
      <c r="M189" s="3">
        <f>IF(F189="","",J189*K189)</f>
        <v/>
      </c>
      <c r="N189" s="3">
        <f>IF(F189="","",SUMIF(Abonos!$B$2:$B$5000,F189,Abonos!$C$2:$C$5000))</f>
        <v/>
      </c>
      <c r="O189">
        <f>IF(F189="","",MIN(K189,IF(TODAY()&lt;=H189,0,IF(L189="sí",TODAY()-H189,NETWORKDAYS.INTL(H189+1,TODAY(),11)))))</f>
        <v/>
      </c>
      <c r="P189" s="3">
        <f>IF(F189="","",O189*J189)</f>
        <v/>
      </c>
      <c r="Q189" s="3">
        <f>IF(F189="","",MAX(0,P189-N189))</f>
        <v/>
      </c>
      <c r="R189">
        <f>IF(F189="","",IF(N(J189)=0,0,ROUNDUP(Q189/J189,0)))</f>
        <v/>
      </c>
      <c r="S189" s="4">
        <f>IF(F189="","",IFERROR(1/(1/_xlfn.MAXIFS(Abonos!$A$2:$A$5000,Abonos!$B$2:$B$5000,F189)),""))</f>
        <v/>
      </c>
      <c r="T189">
        <f>IF(F189="","",IF(AND(G189='Ruta de hoy'!$B$4,N(D189)&gt;0),COUNTIFS($G$2:G189,'Ruta de hoy'!$B$4,$D$2:D189,"&gt;0"),""))</f>
        <v/>
      </c>
    </row>
    <row r="190">
      <c r="D190" s="3">
        <f>IF(F190="","",MAX(0,M190-N190))</f>
        <v/>
      </c>
      <c r="H190" s="4" t="n"/>
      <c r="I190" s="3" t="n"/>
      <c r="J190" s="3" t="n"/>
      <c r="M190" s="3">
        <f>IF(F190="","",J190*K190)</f>
        <v/>
      </c>
      <c r="N190" s="3">
        <f>IF(F190="","",SUMIF(Abonos!$B$2:$B$5000,F190,Abonos!$C$2:$C$5000))</f>
        <v/>
      </c>
      <c r="O190">
        <f>IF(F190="","",MIN(K190,IF(TODAY()&lt;=H190,0,IF(L190="sí",TODAY()-H190,NETWORKDAYS.INTL(H190+1,TODAY(),11)))))</f>
        <v/>
      </c>
      <c r="P190" s="3">
        <f>IF(F190="","",O190*J190)</f>
        <v/>
      </c>
      <c r="Q190" s="3">
        <f>IF(F190="","",MAX(0,P190-N190))</f>
        <v/>
      </c>
      <c r="R190">
        <f>IF(F190="","",IF(N(J190)=0,0,ROUNDUP(Q190/J190,0)))</f>
        <v/>
      </c>
      <c r="S190" s="4">
        <f>IF(F190="","",IFERROR(1/(1/_xlfn.MAXIFS(Abonos!$A$2:$A$5000,Abonos!$B$2:$B$5000,F190)),""))</f>
        <v/>
      </c>
      <c r="T190">
        <f>IF(F190="","",IF(AND(G190='Ruta de hoy'!$B$4,N(D190)&gt;0),COUNTIFS($G$2:G190,'Ruta de hoy'!$B$4,$D$2:D190,"&gt;0"),""))</f>
        <v/>
      </c>
    </row>
    <row r="191">
      <c r="D191" s="3">
        <f>IF(F191="","",MAX(0,M191-N191))</f>
        <v/>
      </c>
      <c r="H191" s="4" t="n"/>
      <c r="I191" s="3" t="n"/>
      <c r="J191" s="3" t="n"/>
      <c r="M191" s="3">
        <f>IF(F191="","",J191*K191)</f>
        <v/>
      </c>
      <c r="N191" s="3">
        <f>IF(F191="","",SUMIF(Abonos!$B$2:$B$5000,F191,Abonos!$C$2:$C$5000))</f>
        <v/>
      </c>
      <c r="O191">
        <f>IF(F191="","",MIN(K191,IF(TODAY()&lt;=H191,0,IF(L191="sí",TODAY()-H191,NETWORKDAYS.INTL(H191+1,TODAY(),11)))))</f>
        <v/>
      </c>
      <c r="P191" s="3">
        <f>IF(F191="","",O191*J191)</f>
        <v/>
      </c>
      <c r="Q191" s="3">
        <f>IF(F191="","",MAX(0,P191-N191))</f>
        <v/>
      </c>
      <c r="R191">
        <f>IF(F191="","",IF(N(J191)=0,0,ROUNDUP(Q191/J191,0)))</f>
        <v/>
      </c>
      <c r="S191" s="4">
        <f>IF(F191="","",IFERROR(1/(1/_xlfn.MAXIFS(Abonos!$A$2:$A$5000,Abonos!$B$2:$B$5000,F191)),""))</f>
        <v/>
      </c>
      <c r="T191">
        <f>IF(F191="","",IF(AND(G191='Ruta de hoy'!$B$4,N(D191)&gt;0),COUNTIFS($G$2:G191,'Ruta de hoy'!$B$4,$D$2:D191,"&gt;0"),""))</f>
        <v/>
      </c>
    </row>
    <row r="192">
      <c r="D192" s="3">
        <f>IF(F192="","",MAX(0,M192-N192))</f>
        <v/>
      </c>
      <c r="H192" s="4" t="n"/>
      <c r="I192" s="3" t="n"/>
      <c r="J192" s="3" t="n"/>
      <c r="M192" s="3">
        <f>IF(F192="","",J192*K192)</f>
        <v/>
      </c>
      <c r="N192" s="3">
        <f>IF(F192="","",SUMIF(Abonos!$B$2:$B$5000,F192,Abonos!$C$2:$C$5000))</f>
        <v/>
      </c>
      <c r="O192">
        <f>IF(F192="","",MIN(K192,IF(TODAY()&lt;=H192,0,IF(L192="sí",TODAY()-H192,NETWORKDAYS.INTL(H192+1,TODAY(),11)))))</f>
        <v/>
      </c>
      <c r="P192" s="3">
        <f>IF(F192="","",O192*J192)</f>
        <v/>
      </c>
      <c r="Q192" s="3">
        <f>IF(F192="","",MAX(0,P192-N192))</f>
        <v/>
      </c>
      <c r="R192">
        <f>IF(F192="","",IF(N(J192)=0,0,ROUNDUP(Q192/J192,0)))</f>
        <v/>
      </c>
      <c r="S192" s="4">
        <f>IF(F192="","",IFERROR(1/(1/_xlfn.MAXIFS(Abonos!$A$2:$A$5000,Abonos!$B$2:$B$5000,F192)),""))</f>
        <v/>
      </c>
      <c r="T192">
        <f>IF(F192="","",IF(AND(G192='Ruta de hoy'!$B$4,N(D192)&gt;0),COUNTIFS($G$2:G192,'Ruta de hoy'!$B$4,$D$2:D192,"&gt;0"),""))</f>
        <v/>
      </c>
    </row>
    <row r="193">
      <c r="D193" s="3">
        <f>IF(F193="","",MAX(0,M193-N193))</f>
        <v/>
      </c>
      <c r="H193" s="4" t="n"/>
      <c r="I193" s="3" t="n"/>
      <c r="J193" s="3" t="n"/>
      <c r="M193" s="3">
        <f>IF(F193="","",J193*K193)</f>
        <v/>
      </c>
      <c r="N193" s="3">
        <f>IF(F193="","",SUMIF(Abonos!$B$2:$B$5000,F193,Abonos!$C$2:$C$5000))</f>
        <v/>
      </c>
      <c r="O193">
        <f>IF(F193="","",MIN(K193,IF(TODAY()&lt;=H193,0,IF(L193="sí",TODAY()-H193,NETWORKDAYS.INTL(H193+1,TODAY(),11)))))</f>
        <v/>
      </c>
      <c r="P193" s="3">
        <f>IF(F193="","",O193*J193)</f>
        <v/>
      </c>
      <c r="Q193" s="3">
        <f>IF(F193="","",MAX(0,P193-N193))</f>
        <v/>
      </c>
      <c r="R193">
        <f>IF(F193="","",IF(N(J193)=0,0,ROUNDUP(Q193/J193,0)))</f>
        <v/>
      </c>
      <c r="S193" s="4">
        <f>IF(F193="","",IFERROR(1/(1/_xlfn.MAXIFS(Abonos!$A$2:$A$5000,Abonos!$B$2:$B$5000,F193)),""))</f>
        <v/>
      </c>
      <c r="T193">
        <f>IF(F193="","",IF(AND(G193='Ruta de hoy'!$B$4,N(D193)&gt;0),COUNTIFS($G$2:G193,'Ruta de hoy'!$B$4,$D$2:D193,"&gt;0"),""))</f>
        <v/>
      </c>
    </row>
    <row r="194">
      <c r="D194" s="3">
        <f>IF(F194="","",MAX(0,M194-N194))</f>
        <v/>
      </c>
      <c r="H194" s="4" t="n"/>
      <c r="I194" s="3" t="n"/>
      <c r="J194" s="3" t="n"/>
      <c r="M194" s="3">
        <f>IF(F194="","",J194*K194)</f>
        <v/>
      </c>
      <c r="N194" s="3">
        <f>IF(F194="","",SUMIF(Abonos!$B$2:$B$5000,F194,Abonos!$C$2:$C$5000))</f>
        <v/>
      </c>
      <c r="O194">
        <f>IF(F194="","",MIN(K194,IF(TODAY()&lt;=H194,0,IF(L194="sí",TODAY()-H194,NETWORKDAYS.INTL(H194+1,TODAY(),11)))))</f>
        <v/>
      </c>
      <c r="P194" s="3">
        <f>IF(F194="","",O194*J194)</f>
        <v/>
      </c>
      <c r="Q194" s="3">
        <f>IF(F194="","",MAX(0,P194-N194))</f>
        <v/>
      </c>
      <c r="R194">
        <f>IF(F194="","",IF(N(J194)=0,0,ROUNDUP(Q194/J194,0)))</f>
        <v/>
      </c>
      <c r="S194" s="4">
        <f>IF(F194="","",IFERROR(1/(1/_xlfn.MAXIFS(Abonos!$A$2:$A$5000,Abonos!$B$2:$B$5000,F194)),""))</f>
        <v/>
      </c>
      <c r="T194">
        <f>IF(F194="","",IF(AND(G194='Ruta de hoy'!$B$4,N(D194)&gt;0),COUNTIFS($G$2:G194,'Ruta de hoy'!$B$4,$D$2:D194,"&gt;0"),""))</f>
        <v/>
      </c>
    </row>
    <row r="195">
      <c r="D195" s="3">
        <f>IF(F195="","",MAX(0,M195-N195))</f>
        <v/>
      </c>
      <c r="H195" s="4" t="n"/>
      <c r="I195" s="3" t="n"/>
      <c r="J195" s="3" t="n"/>
      <c r="M195" s="3">
        <f>IF(F195="","",J195*K195)</f>
        <v/>
      </c>
      <c r="N195" s="3">
        <f>IF(F195="","",SUMIF(Abonos!$B$2:$B$5000,F195,Abonos!$C$2:$C$5000))</f>
        <v/>
      </c>
      <c r="O195">
        <f>IF(F195="","",MIN(K195,IF(TODAY()&lt;=H195,0,IF(L195="sí",TODAY()-H195,NETWORKDAYS.INTL(H195+1,TODAY(),11)))))</f>
        <v/>
      </c>
      <c r="P195" s="3">
        <f>IF(F195="","",O195*J195)</f>
        <v/>
      </c>
      <c r="Q195" s="3">
        <f>IF(F195="","",MAX(0,P195-N195))</f>
        <v/>
      </c>
      <c r="R195">
        <f>IF(F195="","",IF(N(J195)=0,0,ROUNDUP(Q195/J195,0)))</f>
        <v/>
      </c>
      <c r="S195" s="4">
        <f>IF(F195="","",IFERROR(1/(1/_xlfn.MAXIFS(Abonos!$A$2:$A$5000,Abonos!$B$2:$B$5000,F195)),""))</f>
        <v/>
      </c>
      <c r="T195">
        <f>IF(F195="","",IF(AND(G195='Ruta de hoy'!$B$4,N(D195)&gt;0),COUNTIFS($G$2:G195,'Ruta de hoy'!$B$4,$D$2:D195,"&gt;0"),""))</f>
        <v/>
      </c>
    </row>
    <row r="196">
      <c r="D196" s="3">
        <f>IF(F196="","",MAX(0,M196-N196))</f>
        <v/>
      </c>
      <c r="H196" s="4" t="n"/>
      <c r="I196" s="3" t="n"/>
      <c r="J196" s="3" t="n"/>
      <c r="M196" s="3">
        <f>IF(F196="","",J196*K196)</f>
        <v/>
      </c>
      <c r="N196" s="3">
        <f>IF(F196="","",SUMIF(Abonos!$B$2:$B$5000,F196,Abonos!$C$2:$C$5000))</f>
        <v/>
      </c>
      <c r="O196">
        <f>IF(F196="","",MIN(K196,IF(TODAY()&lt;=H196,0,IF(L196="sí",TODAY()-H196,NETWORKDAYS.INTL(H196+1,TODAY(),11)))))</f>
        <v/>
      </c>
      <c r="P196" s="3">
        <f>IF(F196="","",O196*J196)</f>
        <v/>
      </c>
      <c r="Q196" s="3">
        <f>IF(F196="","",MAX(0,P196-N196))</f>
        <v/>
      </c>
      <c r="R196">
        <f>IF(F196="","",IF(N(J196)=0,0,ROUNDUP(Q196/J196,0)))</f>
        <v/>
      </c>
      <c r="S196" s="4">
        <f>IF(F196="","",IFERROR(1/(1/_xlfn.MAXIFS(Abonos!$A$2:$A$5000,Abonos!$B$2:$B$5000,F196)),""))</f>
        <v/>
      </c>
      <c r="T196">
        <f>IF(F196="","",IF(AND(G196='Ruta de hoy'!$B$4,N(D196)&gt;0),COUNTIFS($G$2:G196,'Ruta de hoy'!$B$4,$D$2:D196,"&gt;0"),""))</f>
        <v/>
      </c>
    </row>
    <row r="197">
      <c r="D197" s="3">
        <f>IF(F197="","",MAX(0,M197-N197))</f>
        <v/>
      </c>
      <c r="H197" s="4" t="n"/>
      <c r="I197" s="3" t="n"/>
      <c r="J197" s="3" t="n"/>
      <c r="M197" s="3">
        <f>IF(F197="","",J197*K197)</f>
        <v/>
      </c>
      <c r="N197" s="3">
        <f>IF(F197="","",SUMIF(Abonos!$B$2:$B$5000,F197,Abonos!$C$2:$C$5000))</f>
        <v/>
      </c>
      <c r="O197">
        <f>IF(F197="","",MIN(K197,IF(TODAY()&lt;=H197,0,IF(L197="sí",TODAY()-H197,NETWORKDAYS.INTL(H197+1,TODAY(),11)))))</f>
        <v/>
      </c>
      <c r="P197" s="3">
        <f>IF(F197="","",O197*J197)</f>
        <v/>
      </c>
      <c r="Q197" s="3">
        <f>IF(F197="","",MAX(0,P197-N197))</f>
        <v/>
      </c>
      <c r="R197">
        <f>IF(F197="","",IF(N(J197)=0,0,ROUNDUP(Q197/J197,0)))</f>
        <v/>
      </c>
      <c r="S197" s="4">
        <f>IF(F197="","",IFERROR(1/(1/_xlfn.MAXIFS(Abonos!$A$2:$A$5000,Abonos!$B$2:$B$5000,F197)),""))</f>
        <v/>
      </c>
      <c r="T197">
        <f>IF(F197="","",IF(AND(G197='Ruta de hoy'!$B$4,N(D197)&gt;0),COUNTIFS($G$2:G197,'Ruta de hoy'!$B$4,$D$2:D197,"&gt;0"),""))</f>
        <v/>
      </c>
    </row>
    <row r="198">
      <c r="D198" s="3">
        <f>IF(F198="","",MAX(0,M198-N198))</f>
        <v/>
      </c>
      <c r="H198" s="4" t="n"/>
      <c r="I198" s="3" t="n"/>
      <c r="J198" s="3" t="n"/>
      <c r="M198" s="3">
        <f>IF(F198="","",J198*K198)</f>
        <v/>
      </c>
      <c r="N198" s="3">
        <f>IF(F198="","",SUMIF(Abonos!$B$2:$B$5000,F198,Abonos!$C$2:$C$5000))</f>
        <v/>
      </c>
      <c r="O198">
        <f>IF(F198="","",MIN(K198,IF(TODAY()&lt;=H198,0,IF(L198="sí",TODAY()-H198,NETWORKDAYS.INTL(H198+1,TODAY(),11)))))</f>
        <v/>
      </c>
      <c r="P198" s="3">
        <f>IF(F198="","",O198*J198)</f>
        <v/>
      </c>
      <c r="Q198" s="3">
        <f>IF(F198="","",MAX(0,P198-N198))</f>
        <v/>
      </c>
      <c r="R198">
        <f>IF(F198="","",IF(N(J198)=0,0,ROUNDUP(Q198/J198,0)))</f>
        <v/>
      </c>
      <c r="S198" s="4">
        <f>IF(F198="","",IFERROR(1/(1/_xlfn.MAXIFS(Abonos!$A$2:$A$5000,Abonos!$B$2:$B$5000,F198)),""))</f>
        <v/>
      </c>
      <c r="T198">
        <f>IF(F198="","",IF(AND(G198='Ruta de hoy'!$B$4,N(D198)&gt;0),COUNTIFS($G$2:G198,'Ruta de hoy'!$B$4,$D$2:D198,"&gt;0"),""))</f>
        <v/>
      </c>
    </row>
    <row r="199">
      <c r="D199" s="3">
        <f>IF(F199="","",MAX(0,M199-N199))</f>
        <v/>
      </c>
      <c r="H199" s="4" t="n"/>
      <c r="I199" s="3" t="n"/>
      <c r="J199" s="3" t="n"/>
      <c r="M199" s="3">
        <f>IF(F199="","",J199*K199)</f>
        <v/>
      </c>
      <c r="N199" s="3">
        <f>IF(F199="","",SUMIF(Abonos!$B$2:$B$5000,F199,Abonos!$C$2:$C$5000))</f>
        <v/>
      </c>
      <c r="O199">
        <f>IF(F199="","",MIN(K199,IF(TODAY()&lt;=H199,0,IF(L199="sí",TODAY()-H199,NETWORKDAYS.INTL(H199+1,TODAY(),11)))))</f>
        <v/>
      </c>
      <c r="P199" s="3">
        <f>IF(F199="","",O199*J199)</f>
        <v/>
      </c>
      <c r="Q199" s="3">
        <f>IF(F199="","",MAX(0,P199-N199))</f>
        <v/>
      </c>
      <c r="R199">
        <f>IF(F199="","",IF(N(J199)=0,0,ROUNDUP(Q199/J199,0)))</f>
        <v/>
      </c>
      <c r="S199" s="4">
        <f>IF(F199="","",IFERROR(1/(1/_xlfn.MAXIFS(Abonos!$A$2:$A$5000,Abonos!$B$2:$B$5000,F199)),""))</f>
        <v/>
      </c>
      <c r="T199">
        <f>IF(F199="","",IF(AND(G199='Ruta de hoy'!$B$4,N(D199)&gt;0),COUNTIFS($G$2:G199,'Ruta de hoy'!$B$4,$D$2:D199,"&gt;0"),""))</f>
        <v/>
      </c>
    </row>
    <row r="200">
      <c r="D200" s="3">
        <f>IF(F200="","",MAX(0,M200-N200))</f>
        <v/>
      </c>
      <c r="H200" s="4" t="n"/>
      <c r="I200" s="3" t="n"/>
      <c r="J200" s="3" t="n"/>
      <c r="M200" s="3">
        <f>IF(F200="","",J200*K200)</f>
        <v/>
      </c>
      <c r="N200" s="3">
        <f>IF(F200="","",SUMIF(Abonos!$B$2:$B$5000,F200,Abonos!$C$2:$C$5000))</f>
        <v/>
      </c>
      <c r="O200">
        <f>IF(F200="","",MIN(K200,IF(TODAY()&lt;=H200,0,IF(L200="sí",TODAY()-H200,NETWORKDAYS.INTL(H200+1,TODAY(),11)))))</f>
        <v/>
      </c>
      <c r="P200" s="3">
        <f>IF(F200="","",O200*J200)</f>
        <v/>
      </c>
      <c r="Q200" s="3">
        <f>IF(F200="","",MAX(0,P200-N200))</f>
        <v/>
      </c>
      <c r="R200">
        <f>IF(F200="","",IF(N(J200)=0,0,ROUNDUP(Q200/J200,0)))</f>
        <v/>
      </c>
      <c r="S200" s="4">
        <f>IF(F200="","",IFERROR(1/(1/_xlfn.MAXIFS(Abonos!$A$2:$A$5000,Abonos!$B$2:$B$5000,F200)),""))</f>
        <v/>
      </c>
      <c r="T200">
        <f>IF(F200="","",IF(AND(G200='Ruta de hoy'!$B$4,N(D200)&gt;0),COUNTIFS($G$2:G200,'Ruta de hoy'!$B$4,$D$2:D200,"&gt;0"),""))</f>
        <v/>
      </c>
    </row>
    <row r="201">
      <c r="D201" s="3">
        <f>IF(F201="","",MAX(0,M201-N201))</f>
        <v/>
      </c>
      <c r="H201" s="4" t="n"/>
      <c r="I201" s="3" t="n"/>
      <c r="J201" s="3" t="n"/>
      <c r="M201" s="3">
        <f>IF(F201="","",J201*K201)</f>
        <v/>
      </c>
      <c r="N201" s="3">
        <f>IF(F201="","",SUMIF(Abonos!$B$2:$B$5000,F201,Abonos!$C$2:$C$5000))</f>
        <v/>
      </c>
      <c r="O201">
        <f>IF(F201="","",MIN(K201,IF(TODAY()&lt;=H201,0,IF(L201="sí",TODAY()-H201,NETWORKDAYS.INTL(H201+1,TODAY(),11)))))</f>
        <v/>
      </c>
      <c r="P201" s="3">
        <f>IF(F201="","",O201*J201)</f>
        <v/>
      </c>
      <c r="Q201" s="3">
        <f>IF(F201="","",MAX(0,P201-N201))</f>
        <v/>
      </c>
      <c r="R201">
        <f>IF(F201="","",IF(N(J201)=0,0,ROUNDUP(Q201/J201,0)))</f>
        <v/>
      </c>
      <c r="S201" s="4">
        <f>IF(F201="","",IFERROR(1/(1/_xlfn.MAXIFS(Abonos!$A$2:$A$5000,Abonos!$B$2:$B$5000,F201)),""))</f>
        <v/>
      </c>
      <c r="T201">
        <f>IF(F201="","",IF(AND(G201='Ruta de hoy'!$B$4,N(D201)&gt;0),COUNTIFS($G$2:G201,'Ruta de hoy'!$B$4,$D$2:D201,"&gt;0"),""))</f>
        <v/>
      </c>
    </row>
    <row r="204">
      <c r="A204" s="5" t="inlineStr">
        <is>
          <t>Totales</t>
        </is>
      </c>
      <c r="D204" s="6">
        <f>SUM(D2:D201)</f>
        <v/>
      </c>
      <c r="I204" s="6">
        <f>SUM(I2:I201)</f>
        <v/>
      </c>
      <c r="N204" s="6">
        <f>SUM(N2:N201)</f>
        <v/>
      </c>
      <c r="Q204" s="6">
        <f>SUM(Q2:Q201)</f>
        <v/>
      </c>
    </row>
  </sheetData>
  <dataValidations count="2">
    <dataValidation sqref="E2:E201" showDropDown="0" showInputMessage="0" showErrorMessage="0" allowBlank="1" type="list">
      <formula1>"activo,vencido,baja"</formula1>
    </dataValidation>
    <dataValidation sqref="L2:L201" showDropDown="0" showInputMessage="0" showErrorMessage="0" allowBlank="1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1" customWidth="1" min="3" max="3"/>
    <col width="16" customWidth="1" min="4" max="4"/>
    <col width="30" customWidth="1" min="5" max="5"/>
  </cols>
  <sheetData>
    <row r="1">
      <c r="A1" s="2" t="inlineStr">
        <is>
          <t>fecha</t>
        </is>
      </c>
      <c r="B1" s="2" t="inlineStr">
        <is>
          <t>folio</t>
        </is>
      </c>
      <c r="C1" s="2" t="inlineStr">
        <is>
          <t>monto</t>
        </is>
      </c>
      <c r="D1" s="2" t="inlineStr">
        <is>
          <t>cobrador</t>
        </is>
      </c>
      <c r="E1" s="2" t="inlineStr">
        <is>
          <t>nota</t>
        </is>
      </c>
    </row>
    <row r="2">
      <c r="A2" s="4" t="n">
        <v>46287</v>
      </c>
      <c r="B2" t="inlineStr">
        <is>
          <t>D-101</t>
        </is>
      </c>
      <c r="C2" s="3" t="n">
        <v>100</v>
      </c>
      <c r="D2" t="inlineStr">
        <is>
          <t>Ramón</t>
        </is>
      </c>
      <c r="E2" t="inlineStr"/>
    </row>
    <row r="3">
      <c r="A3" s="4" t="n">
        <v>46288</v>
      </c>
      <c r="B3" t="inlineStr">
        <is>
          <t>D-101</t>
        </is>
      </c>
      <c r="C3" s="3" t="n">
        <v>100</v>
      </c>
      <c r="D3" t="inlineStr">
        <is>
          <t>Ramón</t>
        </is>
      </c>
      <c r="E3" t="inlineStr"/>
    </row>
    <row r="4">
      <c r="A4" s="4" t="n">
        <v>46289</v>
      </c>
      <c r="B4" t="inlineStr">
        <is>
          <t>D-101</t>
        </is>
      </c>
      <c r="C4" s="3" t="n">
        <v>100</v>
      </c>
      <c r="D4" t="inlineStr">
        <is>
          <t>Ramón</t>
        </is>
      </c>
      <c r="E4" t="inlineStr"/>
    </row>
    <row r="5">
      <c r="A5" s="4" t="n">
        <v>46290</v>
      </c>
      <c r="B5" t="inlineStr">
        <is>
          <t>D-101</t>
        </is>
      </c>
      <c r="C5" s="3" t="n">
        <v>100</v>
      </c>
      <c r="D5" t="inlineStr">
        <is>
          <t>Ramón</t>
        </is>
      </c>
      <c r="E5" t="inlineStr"/>
    </row>
    <row r="6">
      <c r="A6" s="4" t="n">
        <v>46291</v>
      </c>
      <c r="B6" t="inlineStr">
        <is>
          <t>D-101</t>
        </is>
      </c>
      <c r="C6" s="3" t="n">
        <v>100</v>
      </c>
      <c r="D6" t="inlineStr">
        <is>
          <t>Ramón</t>
        </is>
      </c>
      <c r="E6" t="inlineStr"/>
    </row>
    <row r="7">
      <c r="A7" s="4" t="n">
        <v>46293</v>
      </c>
      <c r="B7" t="inlineStr">
        <is>
          <t>D-101</t>
        </is>
      </c>
      <c r="C7" s="3" t="n">
        <v>100</v>
      </c>
      <c r="D7" t="inlineStr">
        <is>
          <t>Ramón</t>
        </is>
      </c>
      <c r="E7" t="inlineStr"/>
    </row>
    <row r="8">
      <c r="A8" s="4" t="n">
        <v>46294</v>
      </c>
      <c r="B8" t="inlineStr">
        <is>
          <t>D-101</t>
        </is>
      </c>
      <c r="C8" s="3" t="n">
        <v>100</v>
      </c>
      <c r="D8" t="inlineStr">
        <is>
          <t>Ramón</t>
        </is>
      </c>
      <c r="E8" t="inlineStr"/>
    </row>
    <row r="9">
      <c r="A9" s="4" t="n">
        <v>46296</v>
      </c>
      <c r="B9" t="inlineStr">
        <is>
          <t>D-101</t>
        </is>
      </c>
      <c r="C9" s="3" t="n">
        <v>100</v>
      </c>
      <c r="D9" t="inlineStr">
        <is>
          <t>Ramón</t>
        </is>
      </c>
      <c r="E9" t="inlineStr"/>
    </row>
    <row r="10">
      <c r="A10" s="4" t="n">
        <v>46297</v>
      </c>
      <c r="B10" t="inlineStr">
        <is>
          <t>D-101</t>
        </is>
      </c>
      <c r="C10" s="3" t="n">
        <v>100</v>
      </c>
      <c r="D10" t="inlineStr">
        <is>
          <t>Ramón</t>
        </is>
      </c>
      <c r="E10" t="inlineStr"/>
    </row>
    <row r="11">
      <c r="A11" s="4" t="n">
        <v>46298</v>
      </c>
      <c r="B11" t="inlineStr">
        <is>
          <t>D-101</t>
        </is>
      </c>
      <c r="C11" s="3" t="n">
        <v>100</v>
      </c>
      <c r="D11" t="inlineStr">
        <is>
          <t>Ramón</t>
        </is>
      </c>
      <c r="E11" t="inlineStr"/>
    </row>
    <row r="12">
      <c r="A12" s="4" t="n">
        <v>46300</v>
      </c>
      <c r="B12" t="inlineStr">
        <is>
          <t>D-101</t>
        </is>
      </c>
      <c r="C12" s="3" t="n">
        <v>100</v>
      </c>
      <c r="D12" t="inlineStr">
        <is>
          <t>Ramón</t>
        </is>
      </c>
      <c r="E12" t="inlineStr"/>
    </row>
    <row r="13">
      <c r="A13" s="4" t="n">
        <v>46301</v>
      </c>
      <c r="B13" t="inlineStr">
        <is>
          <t>D-101</t>
        </is>
      </c>
      <c r="C13" s="3" t="n">
        <v>100</v>
      </c>
      <c r="D13" t="inlineStr">
        <is>
          <t>Ramón</t>
        </is>
      </c>
      <c r="E13" t="inlineStr"/>
    </row>
    <row r="14">
      <c r="A14" s="4" t="n">
        <v>46303</v>
      </c>
      <c r="B14" t="inlineStr">
        <is>
          <t>D-101</t>
        </is>
      </c>
      <c r="C14" s="3" t="n">
        <v>100</v>
      </c>
      <c r="D14" t="inlineStr">
        <is>
          <t>Ramón</t>
        </is>
      </c>
      <c r="E14" t="inlineStr"/>
    </row>
    <row r="15">
      <c r="A15" s="4" t="n">
        <v>46304</v>
      </c>
      <c r="B15" t="inlineStr">
        <is>
          <t>D-101</t>
        </is>
      </c>
      <c r="C15" s="3" t="n">
        <v>100</v>
      </c>
      <c r="D15" t="inlineStr">
        <is>
          <t>Ramón</t>
        </is>
      </c>
      <c r="E15" t="inlineStr"/>
    </row>
    <row r="16">
      <c r="A16" s="4" t="n">
        <v>46305</v>
      </c>
      <c r="B16" t="inlineStr">
        <is>
          <t>D-101</t>
        </is>
      </c>
      <c r="C16" s="3" t="n">
        <v>100</v>
      </c>
      <c r="D16" t="inlineStr">
        <is>
          <t>Ramón</t>
        </is>
      </c>
      <c r="E16" t="inlineStr"/>
    </row>
    <row r="17">
      <c r="A17" s="4" t="n">
        <v>46294</v>
      </c>
      <c r="B17" t="inlineStr">
        <is>
          <t>D-102</t>
        </is>
      </c>
      <c r="C17" s="3" t="n">
        <v>150</v>
      </c>
      <c r="D17" t="inlineStr">
        <is>
          <t>Ramón</t>
        </is>
      </c>
      <c r="E17" t="inlineStr"/>
    </row>
    <row r="18">
      <c r="A18" s="4" t="n">
        <v>46295</v>
      </c>
      <c r="B18" t="inlineStr">
        <is>
          <t>D-102</t>
        </is>
      </c>
      <c r="C18" s="3" t="n">
        <v>150</v>
      </c>
      <c r="D18" t="inlineStr">
        <is>
          <t>Ramón</t>
        </is>
      </c>
      <c r="E18" t="inlineStr"/>
    </row>
    <row r="19">
      <c r="A19" s="4" t="n">
        <v>46297</v>
      </c>
      <c r="B19" t="inlineStr">
        <is>
          <t>D-102</t>
        </is>
      </c>
      <c r="C19" s="3" t="n">
        <v>300</v>
      </c>
      <c r="D19" t="inlineStr">
        <is>
          <t>Ramón</t>
        </is>
      </c>
      <c r="E19" t="inlineStr">
        <is>
          <t>dos días juntos</t>
        </is>
      </c>
    </row>
    <row r="20">
      <c r="A20" s="4" t="n">
        <v>46297</v>
      </c>
      <c r="B20" t="inlineStr">
        <is>
          <t>D-103</t>
        </is>
      </c>
      <c r="C20" s="3" t="n">
        <v>250</v>
      </c>
      <c r="D20" t="inlineStr">
        <is>
          <t>Lupita</t>
        </is>
      </c>
      <c r="E20" t="inlineStr"/>
    </row>
    <row r="21">
      <c r="A21" s="4" t="n">
        <v>46298</v>
      </c>
      <c r="B21" t="inlineStr">
        <is>
          <t>D-103</t>
        </is>
      </c>
      <c r="C21" s="3" t="n">
        <v>250</v>
      </c>
      <c r="D21" t="inlineStr">
        <is>
          <t>Lupita</t>
        </is>
      </c>
      <c r="E21" t="inlineStr"/>
    </row>
    <row r="22">
      <c r="A22" s="4" t="n">
        <v>46299</v>
      </c>
      <c r="B22" t="inlineStr">
        <is>
          <t>D-103</t>
        </is>
      </c>
      <c r="C22" s="3" t="n">
        <v>250</v>
      </c>
      <c r="D22" t="inlineStr">
        <is>
          <t>Lupita</t>
        </is>
      </c>
      <c r="E22" t="inlineStr"/>
    </row>
    <row r="23">
      <c r="A23" s="4" t="n">
        <v>46300</v>
      </c>
      <c r="B23" t="inlineStr">
        <is>
          <t>D-103</t>
        </is>
      </c>
      <c r="C23" s="3" t="n">
        <v>250</v>
      </c>
      <c r="D23" t="inlineStr">
        <is>
          <t>Lupita</t>
        </is>
      </c>
      <c r="E23" t="inlineStr"/>
    </row>
    <row r="24">
      <c r="A24" s="4" t="n">
        <v>46301</v>
      </c>
      <c r="B24" t="inlineStr">
        <is>
          <t>D-103</t>
        </is>
      </c>
      <c r="C24" s="3" t="n">
        <v>250</v>
      </c>
      <c r="D24" t="inlineStr">
        <is>
          <t>Lupita</t>
        </is>
      </c>
      <c r="E24" t="inlineStr"/>
    </row>
    <row r="25">
      <c r="A25" s="4" t="n">
        <v>46302</v>
      </c>
      <c r="B25" t="inlineStr">
        <is>
          <t>D-103</t>
        </is>
      </c>
      <c r="C25" s="3" t="n">
        <v>250</v>
      </c>
      <c r="D25" t="inlineStr">
        <is>
          <t>Lupita</t>
        </is>
      </c>
      <c r="E25" t="inlineStr"/>
    </row>
    <row r="26">
      <c r="A26" s="4" t="n">
        <v>46303</v>
      </c>
      <c r="B26" t="inlineStr">
        <is>
          <t>D-103</t>
        </is>
      </c>
      <c r="C26" s="3" t="n">
        <v>250</v>
      </c>
      <c r="D26" t="inlineStr">
        <is>
          <t>Lupita</t>
        </is>
      </c>
      <c r="E26" t="inlineStr"/>
    </row>
    <row r="27">
      <c r="A27" s="4" t="n">
        <v>46304</v>
      </c>
      <c r="B27" t="inlineStr">
        <is>
          <t>D-103</t>
        </is>
      </c>
      <c r="C27" s="3" t="n">
        <v>250</v>
      </c>
      <c r="D27" t="inlineStr">
        <is>
          <t>Lupita</t>
        </is>
      </c>
      <c r="E27" t="inlineStr"/>
    </row>
    <row r="28">
      <c r="A28" s="4" t="n">
        <v>46305</v>
      </c>
      <c r="B28" t="inlineStr">
        <is>
          <t>D-103</t>
        </is>
      </c>
      <c r="C28" s="3" t="n">
        <v>250</v>
      </c>
      <c r="D28" t="inlineStr">
        <is>
          <t>Lupita</t>
        </is>
      </c>
      <c r="E28" t="inlineStr"/>
    </row>
    <row r="29">
      <c r="A29" s="4" t="n">
        <v>46306</v>
      </c>
      <c r="B29" t="inlineStr">
        <is>
          <t>D-103</t>
        </is>
      </c>
      <c r="C29" s="3" t="n">
        <v>250</v>
      </c>
      <c r="D29" t="inlineStr">
        <is>
          <t>Lupita</t>
        </is>
      </c>
      <c r="E29" t="inlineStr"/>
    </row>
    <row r="30">
      <c r="A30" s="4" t="n">
        <v>46307</v>
      </c>
      <c r="B30" t="inlineStr">
        <is>
          <t>D-103</t>
        </is>
      </c>
      <c r="C30" s="3" t="n">
        <v>250</v>
      </c>
      <c r="D30" t="inlineStr">
        <is>
          <t>Lupita</t>
        </is>
      </c>
      <c r="E30" t="inlineStr"/>
    </row>
    <row r="31">
      <c r="A31" s="4" t="n">
        <v>46301</v>
      </c>
      <c r="B31" t="inlineStr">
        <is>
          <t>D-104</t>
        </is>
      </c>
      <c r="C31" s="3" t="n">
        <v>75</v>
      </c>
      <c r="D31" t="inlineStr">
        <is>
          <t>Lupita</t>
        </is>
      </c>
      <c r="E31" t="inlineStr"/>
    </row>
    <row r="32">
      <c r="A32" s="4" t="n">
        <v>46302</v>
      </c>
      <c r="B32" t="inlineStr">
        <is>
          <t>D-104</t>
        </is>
      </c>
      <c r="C32" s="3" t="n">
        <v>75</v>
      </c>
      <c r="D32" t="inlineStr">
        <is>
          <t>Lupita</t>
        </is>
      </c>
      <c r="E32" t="inlineStr"/>
    </row>
    <row r="33">
      <c r="A33" s="4" t="n">
        <v>46303</v>
      </c>
      <c r="B33" t="inlineStr">
        <is>
          <t>D-104</t>
        </is>
      </c>
      <c r="C33" s="3" t="n">
        <v>75</v>
      </c>
      <c r="D33" t="inlineStr">
        <is>
          <t>Lupita</t>
        </is>
      </c>
      <c r="E33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50"/>
  <sheetViews>
    <sheetView workbookViewId="0">
      <selection pane="bottomLeft" activeCell="A1" sqref="A1"/>
    </sheetView>
  </sheetViews>
  <sheetFormatPr baseColWidth="8" defaultRowHeight="15"/>
  <cols>
    <col width="24" customWidth="1" min="1" max="1"/>
    <col width="10" customWidth="1" min="2" max="2"/>
    <col width="14" customWidth="1" min="3" max="3"/>
    <col width="14" customWidth="1" min="4" max="4"/>
    <col width="14" customWidth="1" min="5" max="5"/>
    <col width="16" customWidth="1" min="6" max="6"/>
  </cols>
  <sheetData>
    <row r="1">
      <c r="A1" s="7" t="inlineStr">
        <is>
          <t>Ruta de cobro de hoy</t>
        </is>
      </c>
    </row>
    <row r="2">
      <c r="A2" s="8" t="inlineStr">
        <is>
          <t>Escribe la zona en la celda gris. La lista sale de la pestaña Préstamos diarios.</t>
        </is>
      </c>
    </row>
    <row r="4">
      <c r="A4" s="9" t="inlineStr">
        <is>
          <t>Zona</t>
        </is>
      </c>
      <c r="B4" s="10" t="inlineStr">
        <is>
          <t>Centro</t>
        </is>
      </c>
    </row>
    <row r="6">
      <c r="A6" s="2" t="inlineStr">
        <is>
          <t>cliente</t>
        </is>
      </c>
      <c r="B6" s="2" t="inlineStr">
        <is>
          <t>folio</t>
        </is>
      </c>
      <c r="C6" s="2" t="inlineStr">
        <is>
          <t>pago_de_hoy</t>
        </is>
      </c>
      <c r="D6" s="2" t="inlineStr">
        <is>
          <t>atraso</t>
        </is>
      </c>
      <c r="E6" s="2" t="inlineStr">
        <is>
          <t>a_cobrar_hoy</t>
        </is>
      </c>
      <c r="F6" s="2" t="inlineStr">
        <is>
          <t>cobrado</t>
        </is>
      </c>
    </row>
    <row r="7">
      <c r="A7">
        <f>IFERROR(INDEX('Préstamos diarios'!$A$1:$A$201,MATCH(1,'Préstamos diarios'!$T$2:$T$201,0)+1),"")</f>
        <v/>
      </c>
      <c r="B7">
        <f>IFERROR(INDEX('Préstamos diarios'!$F$1:$F$201,MATCH(1,'Préstamos diarios'!$T$2:$T$201,0)+1),"")</f>
        <v/>
      </c>
      <c r="C7" s="3">
        <f>IFERROR(INDEX('Préstamos diarios'!$J$1:$J$201,MATCH(1,'Préstamos diarios'!$T$2:$T$201,0)+1),"")</f>
        <v/>
      </c>
      <c r="D7" s="3">
        <f>IFERROR(INDEX('Préstamos diarios'!$Q$1:$Q$201,MATCH(1,'Préstamos diarios'!$T$2:$T$201,0)+1),"")</f>
        <v/>
      </c>
      <c r="E7" s="3">
        <f>IF(A7="","",C7+D7)</f>
        <v/>
      </c>
      <c r="F7" s="3" t="n"/>
    </row>
    <row r="8">
      <c r="A8">
        <f>IFERROR(INDEX('Préstamos diarios'!$A$1:$A$201,MATCH(2,'Préstamos diarios'!$T$2:$T$201,0)+1),"")</f>
        <v/>
      </c>
      <c r="B8">
        <f>IFERROR(INDEX('Préstamos diarios'!$F$1:$F$201,MATCH(2,'Préstamos diarios'!$T$2:$T$201,0)+1),"")</f>
        <v/>
      </c>
      <c r="C8" s="3">
        <f>IFERROR(INDEX('Préstamos diarios'!$J$1:$J$201,MATCH(2,'Préstamos diarios'!$T$2:$T$201,0)+1),"")</f>
        <v/>
      </c>
      <c r="D8" s="3">
        <f>IFERROR(INDEX('Préstamos diarios'!$Q$1:$Q$201,MATCH(2,'Préstamos diarios'!$T$2:$T$201,0)+1),"")</f>
        <v/>
      </c>
      <c r="E8" s="3">
        <f>IF(A8="","",C8+D8)</f>
        <v/>
      </c>
      <c r="F8" s="3" t="n"/>
    </row>
    <row r="9">
      <c r="A9">
        <f>IFERROR(INDEX('Préstamos diarios'!$A$1:$A$201,MATCH(3,'Préstamos diarios'!$T$2:$T$201,0)+1),"")</f>
        <v/>
      </c>
      <c r="B9">
        <f>IFERROR(INDEX('Préstamos diarios'!$F$1:$F$201,MATCH(3,'Préstamos diarios'!$T$2:$T$201,0)+1),"")</f>
        <v/>
      </c>
      <c r="C9" s="3">
        <f>IFERROR(INDEX('Préstamos diarios'!$J$1:$J$201,MATCH(3,'Préstamos diarios'!$T$2:$T$201,0)+1),"")</f>
        <v/>
      </c>
      <c r="D9" s="3">
        <f>IFERROR(INDEX('Préstamos diarios'!$Q$1:$Q$201,MATCH(3,'Préstamos diarios'!$T$2:$T$201,0)+1),"")</f>
        <v/>
      </c>
      <c r="E9" s="3">
        <f>IF(A9="","",C9+D9)</f>
        <v/>
      </c>
      <c r="F9" s="3" t="n"/>
    </row>
    <row r="10">
      <c r="A10">
        <f>IFERROR(INDEX('Préstamos diarios'!$A$1:$A$201,MATCH(4,'Préstamos diarios'!$T$2:$T$201,0)+1),"")</f>
        <v/>
      </c>
      <c r="B10">
        <f>IFERROR(INDEX('Préstamos diarios'!$F$1:$F$201,MATCH(4,'Préstamos diarios'!$T$2:$T$201,0)+1),"")</f>
        <v/>
      </c>
      <c r="C10" s="3">
        <f>IFERROR(INDEX('Préstamos diarios'!$J$1:$J$201,MATCH(4,'Préstamos diarios'!$T$2:$T$201,0)+1),"")</f>
        <v/>
      </c>
      <c r="D10" s="3">
        <f>IFERROR(INDEX('Préstamos diarios'!$Q$1:$Q$201,MATCH(4,'Préstamos diarios'!$T$2:$T$201,0)+1),"")</f>
        <v/>
      </c>
      <c r="E10" s="3">
        <f>IF(A10="","",C10+D10)</f>
        <v/>
      </c>
      <c r="F10" s="3" t="n"/>
    </row>
    <row r="11">
      <c r="A11">
        <f>IFERROR(INDEX('Préstamos diarios'!$A$1:$A$201,MATCH(5,'Préstamos diarios'!$T$2:$T$201,0)+1),"")</f>
        <v/>
      </c>
      <c r="B11">
        <f>IFERROR(INDEX('Préstamos diarios'!$F$1:$F$201,MATCH(5,'Préstamos diarios'!$T$2:$T$201,0)+1),"")</f>
        <v/>
      </c>
      <c r="C11" s="3">
        <f>IFERROR(INDEX('Préstamos diarios'!$J$1:$J$201,MATCH(5,'Préstamos diarios'!$T$2:$T$201,0)+1),"")</f>
        <v/>
      </c>
      <c r="D11" s="3">
        <f>IFERROR(INDEX('Préstamos diarios'!$Q$1:$Q$201,MATCH(5,'Préstamos diarios'!$T$2:$T$201,0)+1),"")</f>
        <v/>
      </c>
      <c r="E11" s="3">
        <f>IF(A11="","",C11+D11)</f>
        <v/>
      </c>
      <c r="F11" s="3" t="n"/>
    </row>
    <row r="12">
      <c r="A12">
        <f>IFERROR(INDEX('Préstamos diarios'!$A$1:$A$201,MATCH(6,'Préstamos diarios'!$T$2:$T$201,0)+1),"")</f>
        <v/>
      </c>
      <c r="B12">
        <f>IFERROR(INDEX('Préstamos diarios'!$F$1:$F$201,MATCH(6,'Préstamos diarios'!$T$2:$T$201,0)+1),"")</f>
        <v/>
      </c>
      <c r="C12" s="3">
        <f>IFERROR(INDEX('Préstamos diarios'!$J$1:$J$201,MATCH(6,'Préstamos diarios'!$T$2:$T$201,0)+1),"")</f>
        <v/>
      </c>
      <c r="D12" s="3">
        <f>IFERROR(INDEX('Préstamos diarios'!$Q$1:$Q$201,MATCH(6,'Préstamos diarios'!$T$2:$T$201,0)+1),"")</f>
        <v/>
      </c>
      <c r="E12" s="3">
        <f>IF(A12="","",C12+D12)</f>
        <v/>
      </c>
      <c r="F12" s="3" t="n"/>
    </row>
    <row r="13">
      <c r="A13">
        <f>IFERROR(INDEX('Préstamos diarios'!$A$1:$A$201,MATCH(7,'Préstamos diarios'!$T$2:$T$201,0)+1),"")</f>
        <v/>
      </c>
      <c r="B13">
        <f>IFERROR(INDEX('Préstamos diarios'!$F$1:$F$201,MATCH(7,'Préstamos diarios'!$T$2:$T$201,0)+1),"")</f>
        <v/>
      </c>
      <c r="C13" s="3">
        <f>IFERROR(INDEX('Préstamos diarios'!$J$1:$J$201,MATCH(7,'Préstamos diarios'!$T$2:$T$201,0)+1),"")</f>
        <v/>
      </c>
      <c r="D13" s="3">
        <f>IFERROR(INDEX('Préstamos diarios'!$Q$1:$Q$201,MATCH(7,'Préstamos diarios'!$T$2:$T$201,0)+1),"")</f>
        <v/>
      </c>
      <c r="E13" s="3">
        <f>IF(A13="","",C13+D13)</f>
        <v/>
      </c>
      <c r="F13" s="3" t="n"/>
    </row>
    <row r="14">
      <c r="A14">
        <f>IFERROR(INDEX('Préstamos diarios'!$A$1:$A$201,MATCH(8,'Préstamos diarios'!$T$2:$T$201,0)+1),"")</f>
        <v/>
      </c>
      <c r="B14">
        <f>IFERROR(INDEX('Préstamos diarios'!$F$1:$F$201,MATCH(8,'Préstamos diarios'!$T$2:$T$201,0)+1),"")</f>
        <v/>
      </c>
      <c r="C14" s="3">
        <f>IFERROR(INDEX('Préstamos diarios'!$J$1:$J$201,MATCH(8,'Préstamos diarios'!$T$2:$T$201,0)+1),"")</f>
        <v/>
      </c>
      <c r="D14" s="3">
        <f>IFERROR(INDEX('Préstamos diarios'!$Q$1:$Q$201,MATCH(8,'Préstamos diarios'!$T$2:$T$201,0)+1),"")</f>
        <v/>
      </c>
      <c r="E14" s="3">
        <f>IF(A14="","",C14+D14)</f>
        <v/>
      </c>
      <c r="F14" s="3" t="n"/>
    </row>
    <row r="15">
      <c r="A15">
        <f>IFERROR(INDEX('Préstamos diarios'!$A$1:$A$201,MATCH(9,'Préstamos diarios'!$T$2:$T$201,0)+1),"")</f>
        <v/>
      </c>
      <c r="B15">
        <f>IFERROR(INDEX('Préstamos diarios'!$F$1:$F$201,MATCH(9,'Préstamos diarios'!$T$2:$T$201,0)+1),"")</f>
        <v/>
      </c>
      <c r="C15" s="3">
        <f>IFERROR(INDEX('Préstamos diarios'!$J$1:$J$201,MATCH(9,'Préstamos diarios'!$T$2:$T$201,0)+1),"")</f>
        <v/>
      </c>
      <c r="D15" s="3">
        <f>IFERROR(INDEX('Préstamos diarios'!$Q$1:$Q$201,MATCH(9,'Préstamos diarios'!$T$2:$T$201,0)+1),"")</f>
        <v/>
      </c>
      <c r="E15" s="3">
        <f>IF(A15="","",C15+D15)</f>
        <v/>
      </c>
      <c r="F15" s="3" t="n"/>
    </row>
    <row r="16">
      <c r="A16">
        <f>IFERROR(INDEX('Préstamos diarios'!$A$1:$A$201,MATCH(10,'Préstamos diarios'!$T$2:$T$201,0)+1),"")</f>
        <v/>
      </c>
      <c r="B16">
        <f>IFERROR(INDEX('Préstamos diarios'!$F$1:$F$201,MATCH(10,'Préstamos diarios'!$T$2:$T$201,0)+1),"")</f>
        <v/>
      </c>
      <c r="C16" s="3">
        <f>IFERROR(INDEX('Préstamos diarios'!$J$1:$J$201,MATCH(10,'Préstamos diarios'!$T$2:$T$201,0)+1),"")</f>
        <v/>
      </c>
      <c r="D16" s="3">
        <f>IFERROR(INDEX('Préstamos diarios'!$Q$1:$Q$201,MATCH(10,'Préstamos diarios'!$T$2:$T$201,0)+1),"")</f>
        <v/>
      </c>
      <c r="E16" s="3">
        <f>IF(A16="","",C16+D16)</f>
        <v/>
      </c>
      <c r="F16" s="3" t="n"/>
    </row>
    <row r="17">
      <c r="A17">
        <f>IFERROR(INDEX('Préstamos diarios'!$A$1:$A$201,MATCH(11,'Préstamos diarios'!$T$2:$T$201,0)+1),"")</f>
        <v/>
      </c>
      <c r="B17">
        <f>IFERROR(INDEX('Préstamos diarios'!$F$1:$F$201,MATCH(11,'Préstamos diarios'!$T$2:$T$201,0)+1),"")</f>
        <v/>
      </c>
      <c r="C17" s="3">
        <f>IFERROR(INDEX('Préstamos diarios'!$J$1:$J$201,MATCH(11,'Préstamos diarios'!$T$2:$T$201,0)+1),"")</f>
        <v/>
      </c>
      <c r="D17" s="3">
        <f>IFERROR(INDEX('Préstamos diarios'!$Q$1:$Q$201,MATCH(11,'Préstamos diarios'!$T$2:$T$201,0)+1),"")</f>
        <v/>
      </c>
      <c r="E17" s="3">
        <f>IF(A17="","",C17+D17)</f>
        <v/>
      </c>
      <c r="F17" s="3" t="n"/>
    </row>
    <row r="18">
      <c r="A18">
        <f>IFERROR(INDEX('Préstamos diarios'!$A$1:$A$201,MATCH(12,'Préstamos diarios'!$T$2:$T$201,0)+1),"")</f>
        <v/>
      </c>
      <c r="B18">
        <f>IFERROR(INDEX('Préstamos diarios'!$F$1:$F$201,MATCH(12,'Préstamos diarios'!$T$2:$T$201,0)+1),"")</f>
        <v/>
      </c>
      <c r="C18" s="3">
        <f>IFERROR(INDEX('Préstamos diarios'!$J$1:$J$201,MATCH(12,'Préstamos diarios'!$T$2:$T$201,0)+1),"")</f>
        <v/>
      </c>
      <c r="D18" s="3">
        <f>IFERROR(INDEX('Préstamos diarios'!$Q$1:$Q$201,MATCH(12,'Préstamos diarios'!$T$2:$T$201,0)+1),"")</f>
        <v/>
      </c>
      <c r="E18" s="3">
        <f>IF(A18="","",C18+D18)</f>
        <v/>
      </c>
      <c r="F18" s="3" t="n"/>
    </row>
    <row r="19">
      <c r="A19">
        <f>IFERROR(INDEX('Préstamos diarios'!$A$1:$A$201,MATCH(13,'Préstamos diarios'!$T$2:$T$201,0)+1),"")</f>
        <v/>
      </c>
      <c r="B19">
        <f>IFERROR(INDEX('Préstamos diarios'!$F$1:$F$201,MATCH(13,'Préstamos diarios'!$T$2:$T$201,0)+1),"")</f>
        <v/>
      </c>
      <c r="C19" s="3">
        <f>IFERROR(INDEX('Préstamos diarios'!$J$1:$J$201,MATCH(13,'Préstamos diarios'!$T$2:$T$201,0)+1),"")</f>
        <v/>
      </c>
      <c r="D19" s="3">
        <f>IFERROR(INDEX('Préstamos diarios'!$Q$1:$Q$201,MATCH(13,'Préstamos diarios'!$T$2:$T$201,0)+1),"")</f>
        <v/>
      </c>
      <c r="E19" s="3">
        <f>IF(A19="","",C19+D19)</f>
        <v/>
      </c>
      <c r="F19" s="3" t="n"/>
    </row>
    <row r="20">
      <c r="A20">
        <f>IFERROR(INDEX('Préstamos diarios'!$A$1:$A$201,MATCH(14,'Préstamos diarios'!$T$2:$T$201,0)+1),"")</f>
        <v/>
      </c>
      <c r="B20">
        <f>IFERROR(INDEX('Préstamos diarios'!$F$1:$F$201,MATCH(14,'Préstamos diarios'!$T$2:$T$201,0)+1),"")</f>
        <v/>
      </c>
      <c r="C20" s="3">
        <f>IFERROR(INDEX('Préstamos diarios'!$J$1:$J$201,MATCH(14,'Préstamos diarios'!$T$2:$T$201,0)+1),"")</f>
        <v/>
      </c>
      <c r="D20" s="3">
        <f>IFERROR(INDEX('Préstamos diarios'!$Q$1:$Q$201,MATCH(14,'Préstamos diarios'!$T$2:$T$201,0)+1),"")</f>
        <v/>
      </c>
      <c r="E20" s="3">
        <f>IF(A20="","",C20+D20)</f>
        <v/>
      </c>
      <c r="F20" s="3" t="n"/>
    </row>
    <row r="21">
      <c r="A21">
        <f>IFERROR(INDEX('Préstamos diarios'!$A$1:$A$201,MATCH(15,'Préstamos diarios'!$T$2:$T$201,0)+1),"")</f>
        <v/>
      </c>
      <c r="B21">
        <f>IFERROR(INDEX('Préstamos diarios'!$F$1:$F$201,MATCH(15,'Préstamos diarios'!$T$2:$T$201,0)+1),"")</f>
        <v/>
      </c>
      <c r="C21" s="3">
        <f>IFERROR(INDEX('Préstamos diarios'!$J$1:$J$201,MATCH(15,'Préstamos diarios'!$T$2:$T$201,0)+1),"")</f>
        <v/>
      </c>
      <c r="D21" s="3">
        <f>IFERROR(INDEX('Préstamos diarios'!$Q$1:$Q$201,MATCH(15,'Préstamos diarios'!$T$2:$T$201,0)+1),"")</f>
        <v/>
      </c>
      <c r="E21" s="3">
        <f>IF(A21="","",C21+D21)</f>
        <v/>
      </c>
      <c r="F21" s="3" t="n"/>
    </row>
    <row r="22">
      <c r="A22">
        <f>IFERROR(INDEX('Préstamos diarios'!$A$1:$A$201,MATCH(16,'Préstamos diarios'!$T$2:$T$201,0)+1),"")</f>
        <v/>
      </c>
      <c r="B22">
        <f>IFERROR(INDEX('Préstamos diarios'!$F$1:$F$201,MATCH(16,'Préstamos diarios'!$T$2:$T$201,0)+1),"")</f>
        <v/>
      </c>
      <c r="C22" s="3">
        <f>IFERROR(INDEX('Préstamos diarios'!$J$1:$J$201,MATCH(16,'Préstamos diarios'!$T$2:$T$201,0)+1),"")</f>
        <v/>
      </c>
      <c r="D22" s="3">
        <f>IFERROR(INDEX('Préstamos diarios'!$Q$1:$Q$201,MATCH(16,'Préstamos diarios'!$T$2:$T$201,0)+1),"")</f>
        <v/>
      </c>
      <c r="E22" s="3">
        <f>IF(A22="","",C22+D22)</f>
        <v/>
      </c>
      <c r="F22" s="3" t="n"/>
    </row>
    <row r="23">
      <c r="A23">
        <f>IFERROR(INDEX('Préstamos diarios'!$A$1:$A$201,MATCH(17,'Préstamos diarios'!$T$2:$T$201,0)+1),"")</f>
        <v/>
      </c>
      <c r="B23">
        <f>IFERROR(INDEX('Préstamos diarios'!$F$1:$F$201,MATCH(17,'Préstamos diarios'!$T$2:$T$201,0)+1),"")</f>
        <v/>
      </c>
      <c r="C23" s="3">
        <f>IFERROR(INDEX('Préstamos diarios'!$J$1:$J$201,MATCH(17,'Préstamos diarios'!$T$2:$T$201,0)+1),"")</f>
        <v/>
      </c>
      <c r="D23" s="3">
        <f>IFERROR(INDEX('Préstamos diarios'!$Q$1:$Q$201,MATCH(17,'Préstamos diarios'!$T$2:$T$201,0)+1),"")</f>
        <v/>
      </c>
      <c r="E23" s="3">
        <f>IF(A23="","",C23+D23)</f>
        <v/>
      </c>
      <c r="F23" s="3" t="n"/>
    </row>
    <row r="24">
      <c r="A24">
        <f>IFERROR(INDEX('Préstamos diarios'!$A$1:$A$201,MATCH(18,'Préstamos diarios'!$T$2:$T$201,0)+1),"")</f>
        <v/>
      </c>
      <c r="B24">
        <f>IFERROR(INDEX('Préstamos diarios'!$F$1:$F$201,MATCH(18,'Préstamos diarios'!$T$2:$T$201,0)+1),"")</f>
        <v/>
      </c>
      <c r="C24" s="3">
        <f>IFERROR(INDEX('Préstamos diarios'!$J$1:$J$201,MATCH(18,'Préstamos diarios'!$T$2:$T$201,0)+1),"")</f>
        <v/>
      </c>
      <c r="D24" s="3">
        <f>IFERROR(INDEX('Préstamos diarios'!$Q$1:$Q$201,MATCH(18,'Préstamos diarios'!$T$2:$T$201,0)+1),"")</f>
        <v/>
      </c>
      <c r="E24" s="3">
        <f>IF(A24="","",C24+D24)</f>
        <v/>
      </c>
      <c r="F24" s="3" t="n"/>
    </row>
    <row r="25">
      <c r="A25">
        <f>IFERROR(INDEX('Préstamos diarios'!$A$1:$A$201,MATCH(19,'Préstamos diarios'!$T$2:$T$201,0)+1),"")</f>
        <v/>
      </c>
      <c r="B25">
        <f>IFERROR(INDEX('Préstamos diarios'!$F$1:$F$201,MATCH(19,'Préstamos diarios'!$T$2:$T$201,0)+1),"")</f>
        <v/>
      </c>
      <c r="C25" s="3">
        <f>IFERROR(INDEX('Préstamos diarios'!$J$1:$J$201,MATCH(19,'Préstamos diarios'!$T$2:$T$201,0)+1),"")</f>
        <v/>
      </c>
      <c r="D25" s="3">
        <f>IFERROR(INDEX('Préstamos diarios'!$Q$1:$Q$201,MATCH(19,'Préstamos diarios'!$T$2:$T$201,0)+1),"")</f>
        <v/>
      </c>
      <c r="E25" s="3">
        <f>IF(A25="","",C25+D25)</f>
        <v/>
      </c>
      <c r="F25" s="3" t="n"/>
    </row>
    <row r="26">
      <c r="A26">
        <f>IFERROR(INDEX('Préstamos diarios'!$A$1:$A$201,MATCH(20,'Préstamos diarios'!$T$2:$T$201,0)+1),"")</f>
        <v/>
      </c>
      <c r="B26">
        <f>IFERROR(INDEX('Préstamos diarios'!$F$1:$F$201,MATCH(20,'Préstamos diarios'!$T$2:$T$201,0)+1),"")</f>
        <v/>
      </c>
      <c r="C26" s="3">
        <f>IFERROR(INDEX('Préstamos diarios'!$J$1:$J$201,MATCH(20,'Préstamos diarios'!$T$2:$T$201,0)+1),"")</f>
        <v/>
      </c>
      <c r="D26" s="3">
        <f>IFERROR(INDEX('Préstamos diarios'!$Q$1:$Q$201,MATCH(20,'Préstamos diarios'!$T$2:$T$201,0)+1),"")</f>
        <v/>
      </c>
      <c r="E26" s="3">
        <f>IF(A26="","",C26+D26)</f>
        <v/>
      </c>
      <c r="F26" s="3" t="n"/>
    </row>
    <row r="27">
      <c r="A27">
        <f>IFERROR(INDEX('Préstamos diarios'!$A$1:$A$201,MATCH(21,'Préstamos diarios'!$T$2:$T$201,0)+1),"")</f>
        <v/>
      </c>
      <c r="B27">
        <f>IFERROR(INDEX('Préstamos diarios'!$F$1:$F$201,MATCH(21,'Préstamos diarios'!$T$2:$T$201,0)+1),"")</f>
        <v/>
      </c>
      <c r="C27" s="3">
        <f>IFERROR(INDEX('Préstamos diarios'!$J$1:$J$201,MATCH(21,'Préstamos diarios'!$T$2:$T$201,0)+1),"")</f>
        <v/>
      </c>
      <c r="D27" s="3">
        <f>IFERROR(INDEX('Préstamos diarios'!$Q$1:$Q$201,MATCH(21,'Préstamos diarios'!$T$2:$T$201,0)+1),"")</f>
        <v/>
      </c>
      <c r="E27" s="3">
        <f>IF(A27="","",C27+D27)</f>
        <v/>
      </c>
      <c r="F27" s="3" t="n"/>
    </row>
    <row r="28">
      <c r="A28">
        <f>IFERROR(INDEX('Préstamos diarios'!$A$1:$A$201,MATCH(22,'Préstamos diarios'!$T$2:$T$201,0)+1),"")</f>
        <v/>
      </c>
      <c r="B28">
        <f>IFERROR(INDEX('Préstamos diarios'!$F$1:$F$201,MATCH(22,'Préstamos diarios'!$T$2:$T$201,0)+1),"")</f>
        <v/>
      </c>
      <c r="C28" s="3">
        <f>IFERROR(INDEX('Préstamos diarios'!$J$1:$J$201,MATCH(22,'Préstamos diarios'!$T$2:$T$201,0)+1),"")</f>
        <v/>
      </c>
      <c r="D28" s="3">
        <f>IFERROR(INDEX('Préstamos diarios'!$Q$1:$Q$201,MATCH(22,'Préstamos diarios'!$T$2:$T$201,0)+1),"")</f>
        <v/>
      </c>
      <c r="E28" s="3">
        <f>IF(A28="","",C28+D28)</f>
        <v/>
      </c>
      <c r="F28" s="3" t="n"/>
    </row>
    <row r="29">
      <c r="A29">
        <f>IFERROR(INDEX('Préstamos diarios'!$A$1:$A$201,MATCH(23,'Préstamos diarios'!$T$2:$T$201,0)+1),"")</f>
        <v/>
      </c>
      <c r="B29">
        <f>IFERROR(INDEX('Préstamos diarios'!$F$1:$F$201,MATCH(23,'Préstamos diarios'!$T$2:$T$201,0)+1),"")</f>
        <v/>
      </c>
      <c r="C29" s="3">
        <f>IFERROR(INDEX('Préstamos diarios'!$J$1:$J$201,MATCH(23,'Préstamos diarios'!$T$2:$T$201,0)+1),"")</f>
        <v/>
      </c>
      <c r="D29" s="3">
        <f>IFERROR(INDEX('Préstamos diarios'!$Q$1:$Q$201,MATCH(23,'Préstamos diarios'!$T$2:$T$201,0)+1),"")</f>
        <v/>
      </c>
      <c r="E29" s="3">
        <f>IF(A29="","",C29+D29)</f>
        <v/>
      </c>
      <c r="F29" s="3" t="n"/>
    </row>
    <row r="30">
      <c r="A30">
        <f>IFERROR(INDEX('Préstamos diarios'!$A$1:$A$201,MATCH(24,'Préstamos diarios'!$T$2:$T$201,0)+1),"")</f>
        <v/>
      </c>
      <c r="B30">
        <f>IFERROR(INDEX('Préstamos diarios'!$F$1:$F$201,MATCH(24,'Préstamos diarios'!$T$2:$T$201,0)+1),"")</f>
        <v/>
      </c>
      <c r="C30" s="3">
        <f>IFERROR(INDEX('Préstamos diarios'!$J$1:$J$201,MATCH(24,'Préstamos diarios'!$T$2:$T$201,0)+1),"")</f>
        <v/>
      </c>
      <c r="D30" s="3">
        <f>IFERROR(INDEX('Préstamos diarios'!$Q$1:$Q$201,MATCH(24,'Préstamos diarios'!$T$2:$T$201,0)+1),"")</f>
        <v/>
      </c>
      <c r="E30" s="3">
        <f>IF(A30="","",C30+D30)</f>
        <v/>
      </c>
      <c r="F30" s="3" t="n"/>
    </row>
    <row r="31">
      <c r="A31">
        <f>IFERROR(INDEX('Préstamos diarios'!$A$1:$A$201,MATCH(25,'Préstamos diarios'!$T$2:$T$201,0)+1),"")</f>
        <v/>
      </c>
      <c r="B31">
        <f>IFERROR(INDEX('Préstamos diarios'!$F$1:$F$201,MATCH(25,'Préstamos diarios'!$T$2:$T$201,0)+1),"")</f>
        <v/>
      </c>
      <c r="C31" s="3">
        <f>IFERROR(INDEX('Préstamos diarios'!$J$1:$J$201,MATCH(25,'Préstamos diarios'!$T$2:$T$201,0)+1),"")</f>
        <v/>
      </c>
      <c r="D31" s="3">
        <f>IFERROR(INDEX('Préstamos diarios'!$Q$1:$Q$201,MATCH(25,'Préstamos diarios'!$T$2:$T$201,0)+1),"")</f>
        <v/>
      </c>
      <c r="E31" s="3">
        <f>IF(A31="","",C31+D31)</f>
        <v/>
      </c>
      <c r="F31" s="3" t="n"/>
    </row>
    <row r="32">
      <c r="A32">
        <f>IFERROR(INDEX('Préstamos diarios'!$A$1:$A$201,MATCH(26,'Préstamos diarios'!$T$2:$T$201,0)+1),"")</f>
        <v/>
      </c>
      <c r="B32">
        <f>IFERROR(INDEX('Préstamos diarios'!$F$1:$F$201,MATCH(26,'Préstamos diarios'!$T$2:$T$201,0)+1),"")</f>
        <v/>
      </c>
      <c r="C32" s="3">
        <f>IFERROR(INDEX('Préstamos diarios'!$J$1:$J$201,MATCH(26,'Préstamos diarios'!$T$2:$T$201,0)+1),"")</f>
        <v/>
      </c>
      <c r="D32" s="3">
        <f>IFERROR(INDEX('Préstamos diarios'!$Q$1:$Q$201,MATCH(26,'Préstamos diarios'!$T$2:$T$201,0)+1),"")</f>
        <v/>
      </c>
      <c r="E32" s="3">
        <f>IF(A32="","",C32+D32)</f>
        <v/>
      </c>
      <c r="F32" s="3" t="n"/>
    </row>
    <row r="33">
      <c r="A33">
        <f>IFERROR(INDEX('Préstamos diarios'!$A$1:$A$201,MATCH(27,'Préstamos diarios'!$T$2:$T$201,0)+1),"")</f>
        <v/>
      </c>
      <c r="B33">
        <f>IFERROR(INDEX('Préstamos diarios'!$F$1:$F$201,MATCH(27,'Préstamos diarios'!$T$2:$T$201,0)+1),"")</f>
        <v/>
      </c>
      <c r="C33" s="3">
        <f>IFERROR(INDEX('Préstamos diarios'!$J$1:$J$201,MATCH(27,'Préstamos diarios'!$T$2:$T$201,0)+1),"")</f>
        <v/>
      </c>
      <c r="D33" s="3">
        <f>IFERROR(INDEX('Préstamos diarios'!$Q$1:$Q$201,MATCH(27,'Préstamos diarios'!$T$2:$T$201,0)+1),"")</f>
        <v/>
      </c>
      <c r="E33" s="3">
        <f>IF(A33="","",C33+D33)</f>
        <v/>
      </c>
      <c r="F33" s="3" t="n"/>
    </row>
    <row r="34">
      <c r="A34">
        <f>IFERROR(INDEX('Préstamos diarios'!$A$1:$A$201,MATCH(28,'Préstamos diarios'!$T$2:$T$201,0)+1),"")</f>
        <v/>
      </c>
      <c r="B34">
        <f>IFERROR(INDEX('Préstamos diarios'!$F$1:$F$201,MATCH(28,'Préstamos diarios'!$T$2:$T$201,0)+1),"")</f>
        <v/>
      </c>
      <c r="C34" s="3">
        <f>IFERROR(INDEX('Préstamos diarios'!$J$1:$J$201,MATCH(28,'Préstamos diarios'!$T$2:$T$201,0)+1),"")</f>
        <v/>
      </c>
      <c r="D34" s="3">
        <f>IFERROR(INDEX('Préstamos diarios'!$Q$1:$Q$201,MATCH(28,'Préstamos diarios'!$T$2:$T$201,0)+1),"")</f>
        <v/>
      </c>
      <c r="E34" s="3">
        <f>IF(A34="","",C34+D34)</f>
        <v/>
      </c>
      <c r="F34" s="3" t="n"/>
    </row>
    <row r="35">
      <c r="A35">
        <f>IFERROR(INDEX('Préstamos diarios'!$A$1:$A$201,MATCH(29,'Préstamos diarios'!$T$2:$T$201,0)+1),"")</f>
        <v/>
      </c>
      <c r="B35">
        <f>IFERROR(INDEX('Préstamos diarios'!$F$1:$F$201,MATCH(29,'Préstamos diarios'!$T$2:$T$201,0)+1),"")</f>
        <v/>
      </c>
      <c r="C35" s="3">
        <f>IFERROR(INDEX('Préstamos diarios'!$J$1:$J$201,MATCH(29,'Préstamos diarios'!$T$2:$T$201,0)+1),"")</f>
        <v/>
      </c>
      <c r="D35" s="3">
        <f>IFERROR(INDEX('Préstamos diarios'!$Q$1:$Q$201,MATCH(29,'Préstamos diarios'!$T$2:$T$201,0)+1),"")</f>
        <v/>
      </c>
      <c r="E35" s="3">
        <f>IF(A35="","",C35+D35)</f>
        <v/>
      </c>
      <c r="F35" s="3" t="n"/>
    </row>
    <row r="36">
      <c r="A36">
        <f>IFERROR(INDEX('Préstamos diarios'!$A$1:$A$201,MATCH(30,'Préstamos diarios'!$T$2:$T$201,0)+1),"")</f>
        <v/>
      </c>
      <c r="B36">
        <f>IFERROR(INDEX('Préstamos diarios'!$F$1:$F$201,MATCH(30,'Préstamos diarios'!$T$2:$T$201,0)+1),"")</f>
        <v/>
      </c>
      <c r="C36" s="3">
        <f>IFERROR(INDEX('Préstamos diarios'!$J$1:$J$201,MATCH(30,'Préstamos diarios'!$T$2:$T$201,0)+1),"")</f>
        <v/>
      </c>
      <c r="D36" s="3">
        <f>IFERROR(INDEX('Préstamos diarios'!$Q$1:$Q$201,MATCH(30,'Préstamos diarios'!$T$2:$T$201,0)+1),"")</f>
        <v/>
      </c>
      <c r="E36" s="3">
        <f>IF(A36="","",C36+D36)</f>
        <v/>
      </c>
      <c r="F36" s="3" t="n"/>
    </row>
    <row r="37">
      <c r="A37">
        <f>IFERROR(INDEX('Préstamos diarios'!$A$1:$A$201,MATCH(31,'Préstamos diarios'!$T$2:$T$201,0)+1),"")</f>
        <v/>
      </c>
      <c r="B37">
        <f>IFERROR(INDEX('Préstamos diarios'!$F$1:$F$201,MATCH(31,'Préstamos diarios'!$T$2:$T$201,0)+1),"")</f>
        <v/>
      </c>
      <c r="C37" s="3">
        <f>IFERROR(INDEX('Préstamos diarios'!$J$1:$J$201,MATCH(31,'Préstamos diarios'!$T$2:$T$201,0)+1),"")</f>
        <v/>
      </c>
      <c r="D37" s="3">
        <f>IFERROR(INDEX('Préstamos diarios'!$Q$1:$Q$201,MATCH(31,'Préstamos diarios'!$T$2:$T$201,0)+1),"")</f>
        <v/>
      </c>
      <c r="E37" s="3">
        <f>IF(A37="","",C37+D37)</f>
        <v/>
      </c>
      <c r="F37" s="3" t="n"/>
    </row>
    <row r="38">
      <c r="A38">
        <f>IFERROR(INDEX('Préstamos diarios'!$A$1:$A$201,MATCH(32,'Préstamos diarios'!$T$2:$T$201,0)+1),"")</f>
        <v/>
      </c>
      <c r="B38">
        <f>IFERROR(INDEX('Préstamos diarios'!$F$1:$F$201,MATCH(32,'Préstamos diarios'!$T$2:$T$201,0)+1),"")</f>
        <v/>
      </c>
      <c r="C38" s="3">
        <f>IFERROR(INDEX('Préstamos diarios'!$J$1:$J$201,MATCH(32,'Préstamos diarios'!$T$2:$T$201,0)+1),"")</f>
        <v/>
      </c>
      <c r="D38" s="3">
        <f>IFERROR(INDEX('Préstamos diarios'!$Q$1:$Q$201,MATCH(32,'Préstamos diarios'!$T$2:$T$201,0)+1),"")</f>
        <v/>
      </c>
      <c r="E38" s="3">
        <f>IF(A38="","",C38+D38)</f>
        <v/>
      </c>
      <c r="F38" s="3" t="n"/>
    </row>
    <row r="39">
      <c r="A39">
        <f>IFERROR(INDEX('Préstamos diarios'!$A$1:$A$201,MATCH(33,'Préstamos diarios'!$T$2:$T$201,0)+1),"")</f>
        <v/>
      </c>
      <c r="B39">
        <f>IFERROR(INDEX('Préstamos diarios'!$F$1:$F$201,MATCH(33,'Préstamos diarios'!$T$2:$T$201,0)+1),"")</f>
        <v/>
      </c>
      <c r="C39" s="3">
        <f>IFERROR(INDEX('Préstamos diarios'!$J$1:$J$201,MATCH(33,'Préstamos diarios'!$T$2:$T$201,0)+1),"")</f>
        <v/>
      </c>
      <c r="D39" s="3">
        <f>IFERROR(INDEX('Préstamos diarios'!$Q$1:$Q$201,MATCH(33,'Préstamos diarios'!$T$2:$T$201,0)+1),"")</f>
        <v/>
      </c>
      <c r="E39" s="3">
        <f>IF(A39="","",C39+D39)</f>
        <v/>
      </c>
      <c r="F39" s="3" t="n"/>
    </row>
    <row r="40">
      <c r="A40">
        <f>IFERROR(INDEX('Préstamos diarios'!$A$1:$A$201,MATCH(34,'Préstamos diarios'!$T$2:$T$201,0)+1),"")</f>
        <v/>
      </c>
      <c r="B40">
        <f>IFERROR(INDEX('Préstamos diarios'!$F$1:$F$201,MATCH(34,'Préstamos diarios'!$T$2:$T$201,0)+1),"")</f>
        <v/>
      </c>
      <c r="C40" s="3">
        <f>IFERROR(INDEX('Préstamos diarios'!$J$1:$J$201,MATCH(34,'Préstamos diarios'!$T$2:$T$201,0)+1),"")</f>
        <v/>
      </c>
      <c r="D40" s="3">
        <f>IFERROR(INDEX('Préstamos diarios'!$Q$1:$Q$201,MATCH(34,'Préstamos diarios'!$T$2:$T$201,0)+1),"")</f>
        <v/>
      </c>
      <c r="E40" s="3">
        <f>IF(A40="","",C40+D40)</f>
        <v/>
      </c>
      <c r="F40" s="3" t="n"/>
    </row>
    <row r="41">
      <c r="A41">
        <f>IFERROR(INDEX('Préstamos diarios'!$A$1:$A$201,MATCH(35,'Préstamos diarios'!$T$2:$T$201,0)+1),"")</f>
        <v/>
      </c>
      <c r="B41">
        <f>IFERROR(INDEX('Préstamos diarios'!$F$1:$F$201,MATCH(35,'Préstamos diarios'!$T$2:$T$201,0)+1),"")</f>
        <v/>
      </c>
      <c r="C41" s="3">
        <f>IFERROR(INDEX('Préstamos diarios'!$J$1:$J$201,MATCH(35,'Préstamos diarios'!$T$2:$T$201,0)+1),"")</f>
        <v/>
      </c>
      <c r="D41" s="3">
        <f>IFERROR(INDEX('Préstamos diarios'!$Q$1:$Q$201,MATCH(35,'Préstamos diarios'!$T$2:$T$201,0)+1),"")</f>
        <v/>
      </c>
      <c r="E41" s="3">
        <f>IF(A41="","",C41+D41)</f>
        <v/>
      </c>
      <c r="F41" s="3" t="n"/>
    </row>
    <row r="42">
      <c r="A42">
        <f>IFERROR(INDEX('Préstamos diarios'!$A$1:$A$201,MATCH(36,'Préstamos diarios'!$T$2:$T$201,0)+1),"")</f>
        <v/>
      </c>
      <c r="B42">
        <f>IFERROR(INDEX('Préstamos diarios'!$F$1:$F$201,MATCH(36,'Préstamos diarios'!$T$2:$T$201,0)+1),"")</f>
        <v/>
      </c>
      <c r="C42" s="3">
        <f>IFERROR(INDEX('Préstamos diarios'!$J$1:$J$201,MATCH(36,'Préstamos diarios'!$T$2:$T$201,0)+1),"")</f>
        <v/>
      </c>
      <c r="D42" s="3">
        <f>IFERROR(INDEX('Préstamos diarios'!$Q$1:$Q$201,MATCH(36,'Préstamos diarios'!$T$2:$T$201,0)+1),"")</f>
        <v/>
      </c>
      <c r="E42" s="3">
        <f>IF(A42="","",C42+D42)</f>
        <v/>
      </c>
      <c r="F42" s="3" t="n"/>
    </row>
    <row r="43">
      <c r="A43">
        <f>IFERROR(INDEX('Préstamos diarios'!$A$1:$A$201,MATCH(37,'Préstamos diarios'!$T$2:$T$201,0)+1),"")</f>
        <v/>
      </c>
      <c r="B43">
        <f>IFERROR(INDEX('Préstamos diarios'!$F$1:$F$201,MATCH(37,'Préstamos diarios'!$T$2:$T$201,0)+1),"")</f>
        <v/>
      </c>
      <c r="C43" s="3">
        <f>IFERROR(INDEX('Préstamos diarios'!$J$1:$J$201,MATCH(37,'Préstamos diarios'!$T$2:$T$201,0)+1),"")</f>
        <v/>
      </c>
      <c r="D43" s="3">
        <f>IFERROR(INDEX('Préstamos diarios'!$Q$1:$Q$201,MATCH(37,'Préstamos diarios'!$T$2:$T$201,0)+1),"")</f>
        <v/>
      </c>
      <c r="E43" s="3">
        <f>IF(A43="","",C43+D43)</f>
        <v/>
      </c>
      <c r="F43" s="3" t="n"/>
    </row>
    <row r="44">
      <c r="A44">
        <f>IFERROR(INDEX('Préstamos diarios'!$A$1:$A$201,MATCH(38,'Préstamos diarios'!$T$2:$T$201,0)+1),"")</f>
        <v/>
      </c>
      <c r="B44">
        <f>IFERROR(INDEX('Préstamos diarios'!$F$1:$F$201,MATCH(38,'Préstamos diarios'!$T$2:$T$201,0)+1),"")</f>
        <v/>
      </c>
      <c r="C44" s="3">
        <f>IFERROR(INDEX('Préstamos diarios'!$J$1:$J$201,MATCH(38,'Préstamos diarios'!$T$2:$T$201,0)+1),"")</f>
        <v/>
      </c>
      <c r="D44" s="3">
        <f>IFERROR(INDEX('Préstamos diarios'!$Q$1:$Q$201,MATCH(38,'Préstamos diarios'!$T$2:$T$201,0)+1),"")</f>
        <v/>
      </c>
      <c r="E44" s="3">
        <f>IF(A44="","",C44+D44)</f>
        <v/>
      </c>
      <c r="F44" s="3" t="n"/>
    </row>
    <row r="45">
      <c r="A45">
        <f>IFERROR(INDEX('Préstamos diarios'!$A$1:$A$201,MATCH(39,'Préstamos diarios'!$T$2:$T$201,0)+1),"")</f>
        <v/>
      </c>
      <c r="B45">
        <f>IFERROR(INDEX('Préstamos diarios'!$F$1:$F$201,MATCH(39,'Préstamos diarios'!$T$2:$T$201,0)+1),"")</f>
        <v/>
      </c>
      <c r="C45" s="3">
        <f>IFERROR(INDEX('Préstamos diarios'!$J$1:$J$201,MATCH(39,'Préstamos diarios'!$T$2:$T$201,0)+1),"")</f>
        <v/>
      </c>
      <c r="D45" s="3">
        <f>IFERROR(INDEX('Préstamos diarios'!$Q$1:$Q$201,MATCH(39,'Préstamos diarios'!$T$2:$T$201,0)+1),"")</f>
        <v/>
      </c>
      <c r="E45" s="3">
        <f>IF(A45="","",C45+D45)</f>
        <v/>
      </c>
      <c r="F45" s="3" t="n"/>
    </row>
    <row r="46">
      <c r="A46">
        <f>IFERROR(INDEX('Préstamos diarios'!$A$1:$A$201,MATCH(40,'Préstamos diarios'!$T$2:$T$201,0)+1),"")</f>
        <v/>
      </c>
      <c r="B46">
        <f>IFERROR(INDEX('Préstamos diarios'!$F$1:$F$201,MATCH(40,'Préstamos diarios'!$T$2:$T$201,0)+1),"")</f>
        <v/>
      </c>
      <c r="C46" s="3">
        <f>IFERROR(INDEX('Préstamos diarios'!$J$1:$J$201,MATCH(40,'Préstamos diarios'!$T$2:$T$201,0)+1),"")</f>
        <v/>
      </c>
      <c r="D46" s="3">
        <f>IFERROR(INDEX('Préstamos diarios'!$Q$1:$Q$201,MATCH(40,'Préstamos diarios'!$T$2:$T$201,0)+1),"")</f>
        <v/>
      </c>
      <c r="E46" s="3">
        <f>IF(A46="","",C46+D46)</f>
        <v/>
      </c>
      <c r="F46" s="3" t="n"/>
    </row>
    <row r="48">
      <c r="A48" s="5" t="inlineStr">
        <is>
          <t>Totales</t>
        </is>
      </c>
      <c r="C48" s="6">
        <f>SUM(C7:C46)</f>
        <v/>
      </c>
      <c r="D48" s="6">
        <f>SUM(D7:D46)</f>
        <v/>
      </c>
      <c r="E48" s="6">
        <f>SUM(E7:E46)</f>
        <v/>
      </c>
      <c r="F48" s="6">
        <f>SUM(F7:F46)</f>
        <v/>
      </c>
    </row>
    <row r="50">
      <c r="A50" t="inlineStr">
        <is>
          <t>Diferencia entre lo que tocaba y lo cobrado</t>
        </is>
      </c>
      <c r="E50" s="3">
        <f>E48-F48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25"/>
  <sheetViews>
    <sheetView workbookViewId="0">
      <selection activeCell="A1" sqref="A1"/>
    </sheetView>
  </sheetViews>
  <sheetFormatPr baseColWidth="8" defaultRowHeight="15"/>
  <cols>
    <col width="104" customWidth="1" min="1" max="1"/>
  </cols>
  <sheetData>
    <row r="1">
      <c r="A1" s="11" t="inlineStr">
        <is>
          <t>Cómo se usa esta hoja</t>
        </is>
      </c>
    </row>
    <row r="3" ht="15" customHeight="1">
      <c r="A3" s="12" t="inlineStr">
        <is>
          <t>Un renglón por préstamo, con su folio. Quien tiene dos préstamos lleva dos folios.</t>
        </is>
      </c>
    </row>
    <row r="4" ht="15" customHeight="1">
      <c r="A4" s="12" t="inlineStr"/>
    </row>
    <row r="5" ht="30" customHeight="1">
      <c r="A5" s="12" t="inlineStr">
        <is>
          <t>El pago diario y el número de pagos son los que pactaste (por ejemplo, 24 pagos de 100). El total</t>
        </is>
      </c>
    </row>
    <row r="6" ht="30" customHeight="1">
      <c r="A6" s="12" t="inlineStr">
        <is>
          <t>a pagar sale solo. «Cobra domingo» dice si el domingo cuenta como día de cobro; si pones «no», la</t>
        </is>
      </c>
    </row>
    <row r="7" ht="15" customHeight="1">
      <c r="A7" s="12" t="inlineStr">
        <is>
          <t>hoja se los salta al contar.</t>
        </is>
      </c>
    </row>
    <row r="8" ht="15" customHeight="1">
      <c r="A8" s="12" t="inlineStr"/>
    </row>
    <row r="9" ht="30" customHeight="1">
      <c r="A9" s="12" t="inlineStr">
        <is>
          <t>Cada abono se anota una sola vez en la pestaña Abonos con el folio, la fecha y quién lo cobró. Dos</t>
        </is>
      </c>
    </row>
    <row r="10" ht="15" customHeight="1">
      <c r="A10" s="12" t="inlineStr">
        <is>
          <t>días pagados juntos son un abono por el doble: el atraso lo ajusta solo.</t>
        </is>
      </c>
    </row>
    <row r="11" ht="15" customHeight="1">
      <c r="A11" s="12" t="inlineStr"/>
    </row>
    <row r="12" ht="30" customHeight="1">
      <c r="A12" s="12" t="inlineStr">
        <is>
          <t>Días de cobro a hoy: los días que ya tocaban desde el día siguiente a la entrega. Debió llevar = esos</t>
        </is>
      </c>
    </row>
    <row r="13" ht="30" customHeight="1">
      <c r="A13" s="12" t="inlineStr">
        <is>
          <t>días por el pago diario. Atraso = lo que debió llevar menos lo abonado. Pagos atrasados = el atraso</t>
        </is>
      </c>
    </row>
    <row r="14" ht="30" customHeight="1">
      <c r="A14" s="12" t="inlineStr">
        <is>
          <t>en número de pagos. Último pago = la fecha del abono más reciente: si tiene más de tres días, ése</t>
        </is>
      </c>
    </row>
    <row r="15" ht="15" customHeight="1">
      <c r="A15" s="12" t="inlineStr">
        <is>
          <t>es el cliente que hay que ver primero.</t>
        </is>
      </c>
    </row>
    <row r="16" ht="15" customHeight="1">
      <c r="A16" s="12" t="inlineStr"/>
    </row>
    <row r="17" ht="15" customHeight="1">
      <c r="A17" s="12" t="inlineStr">
        <is>
          <t>Ruta de hoy: escribe la zona y salen los clientes de esa zona con saldo, lo que toca hoy y su</t>
        </is>
      </c>
    </row>
    <row r="18" ht="15" customHeight="1">
      <c r="A18" s="12" t="inlineStr">
        <is>
          <t>atraso. Se imprime, el cobrador anota lo cobrado y al regresar se captura en Abonos. La última</t>
        </is>
      </c>
    </row>
    <row r="19" ht="15" customHeight="1">
      <c r="A19" s="12" t="inlineStr">
        <is>
          <t>columna de Préstamos diarios (orden en ruta) es la que arma esa lista: no la borres.</t>
        </is>
      </c>
    </row>
    <row r="20" ht="15" customHeight="1">
      <c r="A20" s="12" t="inlineStr"/>
    </row>
    <row r="21" ht="15" customHeight="1">
      <c r="A21" s="12" t="inlineStr">
        <is>
          <t>Las cinco primeras columnas son las que lee Makatea: guarda la pestaña como CSV y súbela, y cada</t>
        </is>
      </c>
    </row>
    <row r="22" ht="30" customHeight="1">
      <c r="A22" s="12" t="inlineStr">
        <is>
          <t>cliente recibe su aviso por WhatsApp. Esta hoja lleva la cuenta; el documento de la deuda es otro</t>
        </is>
      </c>
    </row>
    <row r="23" ht="15" customHeight="1">
      <c r="A23" s="12" t="inlineStr">
        <is>
          <t>(un pagaré o un contrato firmado).</t>
        </is>
      </c>
    </row>
    <row r="25">
      <c r="A25" s="13" t="inlineStr">
        <is>
          <t>Makatea recuerda, registra y comunica. No mueve dinero.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2026-10-14T00:35:29Z</dcterms:created>
  <dcterms:modified xmlns:dcterms="http://purl.org/dc/terms/" xmlns:xsi="http://www.w3.org/2001/XMLSchema-instance" xsi:type="dcterms:W3CDTF">2026-10-14T00:35:29Z</dcterms:modified>
</cp:coreProperties>
</file>