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ortización" sheetId="1" state="visible" r:id="rId1"/>
    <sheet xmlns:r="http://schemas.openxmlformats.org/officeDocument/2006/relationships" name="Cómo se us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b val="1"/>
      <color rgb="001A2B2A"/>
      <sz val="16"/>
    </font>
    <font>
      <i val="1"/>
      <color rgb="006B7A79"/>
      <sz val="10"/>
    </font>
    <font>
      <b val="1"/>
      <sz val="11"/>
    </font>
    <font>
      <b val="1"/>
      <color rgb="000F8B83"/>
    </font>
    <font>
      <b val="1"/>
      <color rgb="001A2B2A"/>
      <sz val="10"/>
    </font>
    <font>
      <b val="1"/>
    </font>
    <font>
      <b val="1"/>
      <color rgb="001A2B2A"/>
      <sz val="13"/>
    </font>
    <font>
      <i val="1"/>
      <color rgb="006B7A79"/>
      <sz val="9"/>
    </font>
  </fonts>
  <fills count="3">
    <fill>
      <patternFill/>
    </fill>
    <fill>
      <patternFill patternType="gray125"/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0" pivotButton="0" quotePrefix="0" xfId="0"/>
    <xf numFmtId="2" fontId="0" fillId="2" borderId="0" pivotButton="0" quotePrefix="0" xfId="0"/>
    <xf numFmtId="1" fontId="0" fillId="2" borderId="0" pivotButton="0" quotePrefix="0" xfId="0"/>
    <xf numFmtId="164" fontId="0" fillId="2" borderId="0" pivotButton="0" quotePrefix="0" xfId="0"/>
    <xf numFmtId="0" fontId="0" fillId="2" borderId="0" pivotButton="0" quotePrefix="0" xfId="0"/>
    <xf numFmtId="4" fontId="4" fillId="0" borderId="0" pivotButton="0" quotePrefix="0" xfId="0"/>
    <xf numFmtId="0" fontId="5" fillId="2" borderId="0" applyAlignment="1" pivotButton="0" quotePrefix="0" xfId="0">
      <alignment vertical="center"/>
    </xf>
    <xf numFmtId="164" fontId="0" fillId="0" borderId="0" pivotButton="0" quotePrefix="0" xfId="0"/>
    <xf numFmtId="4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4" customWidth="1" min="7" max="7"/>
    <col width="14" customWidth="1" min="8" max="8"/>
  </cols>
  <sheetData>
    <row r="1">
      <c r="A1" s="1" t="inlineStr">
        <is>
          <t>Tabla de amortización</t>
        </is>
      </c>
    </row>
    <row r="2">
      <c r="A2" s="2" t="inlineStr">
        <is>
          <t>Cambia las celdas grises. El pago y la tabla se calculan solos. No incluye IVA ni comisiones.</t>
        </is>
      </c>
    </row>
    <row r="4">
      <c r="A4" s="3" t="inlineStr">
        <is>
          <t>Monto prestado</t>
        </is>
      </c>
      <c r="B4" s="4" t="n">
        <v>50000</v>
      </c>
    </row>
    <row r="5">
      <c r="A5" s="3" t="inlineStr">
        <is>
          <t>Tasa anual (%)</t>
        </is>
      </c>
      <c r="B5" s="5" t="n">
        <v>36</v>
      </c>
    </row>
    <row r="6">
      <c r="A6" s="3" t="inlineStr">
        <is>
          <t>Número de pagos</t>
        </is>
      </c>
      <c r="B6" s="6" t="n">
        <v>12</v>
      </c>
    </row>
    <row r="7">
      <c r="A7" s="3" t="inlineStr">
        <is>
          <t>Fecha del primer pago</t>
        </is>
      </c>
      <c r="B7" s="7" t="n">
        <v>46314</v>
      </c>
    </row>
    <row r="8">
      <c r="A8" s="3" t="inlineStr">
        <is>
          <t>Periodicidad</t>
        </is>
      </c>
      <c r="B8" s="8" t="inlineStr">
        <is>
          <t>Mensual</t>
        </is>
      </c>
    </row>
    <row r="9">
      <c r="A9" s="3" t="inlineStr">
        <is>
          <t>Pagos al año</t>
        </is>
      </c>
      <c r="B9">
        <f>IF(B8="Semanal",52,IF(B8="Quincenal",24,12))</f>
        <v/>
      </c>
    </row>
    <row r="10">
      <c r="A10" s="3" t="inlineStr">
        <is>
          <t>Pago fijo</t>
        </is>
      </c>
      <c r="B10" s="9">
        <f>ROUND(PMT(B5/100/B9,B6,-B4),2)</f>
        <v/>
      </c>
    </row>
    <row r="12">
      <c r="A12" s="10" t="inlineStr">
        <is>
          <t>Pago</t>
        </is>
      </c>
      <c r="B12" s="10" t="inlineStr">
        <is>
          <t>Fecha</t>
        </is>
      </c>
      <c r="C12" s="10" t="inlineStr">
        <is>
          <t>Saldo inicial</t>
        </is>
      </c>
      <c r="D12" s="10" t="inlineStr">
        <is>
          <t>Pago</t>
        </is>
      </c>
      <c r="E12" s="10" t="inlineStr">
        <is>
          <t>Interés</t>
        </is>
      </c>
      <c r="F12" s="10" t="inlineStr">
        <is>
          <t>Capital</t>
        </is>
      </c>
      <c r="G12" s="10" t="inlineStr">
        <is>
          <t>Saldo final</t>
        </is>
      </c>
      <c r="H12" s="10" t="inlineStr">
        <is>
          <t>¿Pagado?</t>
        </is>
      </c>
    </row>
    <row r="13">
      <c r="A13">
        <f>IF(1&lt;=$B$6,1,"")</f>
        <v/>
      </c>
      <c r="B13" s="11">
        <f>IF(A13="","",IF($B$8="Semanal",$B$7+7*(1-1),IF($B$8="Quincenal",$B$7+15*(1-1),EDATE($B$7,1-1))))</f>
        <v/>
      </c>
      <c r="C13" s="12">
        <f>$B$4</f>
        <v/>
      </c>
      <c r="D13" s="12">
        <f>IF(A13="","",IF(1=$B$6,C13+E13,$B$10))</f>
        <v/>
      </c>
      <c r="E13" s="12">
        <f>IF(A13="","",ROUND(C13*$B$5/100/$B$9,2))</f>
        <v/>
      </c>
      <c r="F13" s="12">
        <f>IF(A13="","",D13-E13)</f>
        <v/>
      </c>
      <c r="G13" s="12">
        <f>IF(A13="","",C13-F13)</f>
        <v/>
      </c>
      <c r="H13" s="8" t="n"/>
    </row>
    <row r="14">
      <c r="A14">
        <f>IF(2&lt;=$B$6,2,"")</f>
        <v/>
      </c>
      <c r="B14" s="11">
        <f>IF(A14="","",IF($B$8="Semanal",$B$7+7*(2-1),IF($B$8="Quincenal",$B$7+15*(2-1),EDATE($B$7,2-1))))</f>
        <v/>
      </c>
      <c r="C14" s="12">
        <f>IF(A14="","",G13)</f>
        <v/>
      </c>
      <c r="D14" s="12">
        <f>IF(A14="","",IF(2=$B$6,C14+E14,$B$10))</f>
        <v/>
      </c>
      <c r="E14" s="12">
        <f>IF(A14="","",ROUND(C14*$B$5/100/$B$9,2))</f>
        <v/>
      </c>
      <c r="F14" s="12">
        <f>IF(A14="","",D14-E14)</f>
        <v/>
      </c>
      <c r="G14" s="12">
        <f>IF(A14="","",C14-F14)</f>
        <v/>
      </c>
      <c r="H14" s="8" t="n"/>
    </row>
    <row r="15">
      <c r="A15">
        <f>IF(3&lt;=$B$6,3,"")</f>
        <v/>
      </c>
      <c r="B15" s="11">
        <f>IF(A15="","",IF($B$8="Semanal",$B$7+7*(3-1),IF($B$8="Quincenal",$B$7+15*(3-1),EDATE($B$7,3-1))))</f>
        <v/>
      </c>
      <c r="C15" s="12">
        <f>IF(A15="","",G14)</f>
        <v/>
      </c>
      <c r="D15" s="12">
        <f>IF(A15="","",IF(3=$B$6,C15+E15,$B$10))</f>
        <v/>
      </c>
      <c r="E15" s="12">
        <f>IF(A15="","",ROUND(C15*$B$5/100/$B$9,2))</f>
        <v/>
      </c>
      <c r="F15" s="12">
        <f>IF(A15="","",D15-E15)</f>
        <v/>
      </c>
      <c r="G15" s="12">
        <f>IF(A15="","",C15-F15)</f>
        <v/>
      </c>
      <c r="H15" s="8" t="n"/>
    </row>
    <row r="16">
      <c r="A16">
        <f>IF(4&lt;=$B$6,4,"")</f>
        <v/>
      </c>
      <c r="B16" s="11">
        <f>IF(A16="","",IF($B$8="Semanal",$B$7+7*(4-1),IF($B$8="Quincenal",$B$7+15*(4-1),EDATE($B$7,4-1))))</f>
        <v/>
      </c>
      <c r="C16" s="12">
        <f>IF(A16="","",G15)</f>
        <v/>
      </c>
      <c r="D16" s="12">
        <f>IF(A16="","",IF(4=$B$6,C16+E16,$B$10))</f>
        <v/>
      </c>
      <c r="E16" s="12">
        <f>IF(A16="","",ROUND(C16*$B$5/100/$B$9,2))</f>
        <v/>
      </c>
      <c r="F16" s="12">
        <f>IF(A16="","",D16-E16)</f>
        <v/>
      </c>
      <c r="G16" s="12">
        <f>IF(A16="","",C16-F16)</f>
        <v/>
      </c>
      <c r="H16" s="8" t="n"/>
    </row>
    <row r="17">
      <c r="A17">
        <f>IF(5&lt;=$B$6,5,"")</f>
        <v/>
      </c>
      <c r="B17" s="11">
        <f>IF(A17="","",IF($B$8="Semanal",$B$7+7*(5-1),IF($B$8="Quincenal",$B$7+15*(5-1),EDATE($B$7,5-1))))</f>
        <v/>
      </c>
      <c r="C17" s="12">
        <f>IF(A17="","",G16)</f>
        <v/>
      </c>
      <c r="D17" s="12">
        <f>IF(A17="","",IF(5=$B$6,C17+E17,$B$10))</f>
        <v/>
      </c>
      <c r="E17" s="12">
        <f>IF(A17="","",ROUND(C17*$B$5/100/$B$9,2))</f>
        <v/>
      </c>
      <c r="F17" s="12">
        <f>IF(A17="","",D17-E17)</f>
        <v/>
      </c>
      <c r="G17" s="12">
        <f>IF(A17="","",C17-F17)</f>
        <v/>
      </c>
      <c r="H17" s="8" t="n"/>
    </row>
    <row r="18">
      <c r="A18">
        <f>IF(6&lt;=$B$6,6,"")</f>
        <v/>
      </c>
      <c r="B18" s="11">
        <f>IF(A18="","",IF($B$8="Semanal",$B$7+7*(6-1),IF($B$8="Quincenal",$B$7+15*(6-1),EDATE($B$7,6-1))))</f>
        <v/>
      </c>
      <c r="C18" s="12">
        <f>IF(A18="","",G17)</f>
        <v/>
      </c>
      <c r="D18" s="12">
        <f>IF(A18="","",IF(6=$B$6,C18+E18,$B$10))</f>
        <v/>
      </c>
      <c r="E18" s="12">
        <f>IF(A18="","",ROUND(C18*$B$5/100/$B$9,2))</f>
        <v/>
      </c>
      <c r="F18" s="12">
        <f>IF(A18="","",D18-E18)</f>
        <v/>
      </c>
      <c r="G18" s="12">
        <f>IF(A18="","",C18-F18)</f>
        <v/>
      </c>
      <c r="H18" s="8" t="n"/>
    </row>
    <row r="19">
      <c r="A19">
        <f>IF(7&lt;=$B$6,7,"")</f>
        <v/>
      </c>
      <c r="B19" s="11">
        <f>IF(A19="","",IF($B$8="Semanal",$B$7+7*(7-1),IF($B$8="Quincenal",$B$7+15*(7-1),EDATE($B$7,7-1))))</f>
        <v/>
      </c>
      <c r="C19" s="12">
        <f>IF(A19="","",G18)</f>
        <v/>
      </c>
      <c r="D19" s="12">
        <f>IF(A19="","",IF(7=$B$6,C19+E19,$B$10))</f>
        <v/>
      </c>
      <c r="E19" s="12">
        <f>IF(A19="","",ROUND(C19*$B$5/100/$B$9,2))</f>
        <v/>
      </c>
      <c r="F19" s="12">
        <f>IF(A19="","",D19-E19)</f>
        <v/>
      </c>
      <c r="G19" s="12">
        <f>IF(A19="","",C19-F19)</f>
        <v/>
      </c>
      <c r="H19" s="8" t="n"/>
    </row>
    <row r="20">
      <c r="A20">
        <f>IF(8&lt;=$B$6,8,"")</f>
        <v/>
      </c>
      <c r="B20" s="11">
        <f>IF(A20="","",IF($B$8="Semanal",$B$7+7*(8-1),IF($B$8="Quincenal",$B$7+15*(8-1),EDATE($B$7,8-1))))</f>
        <v/>
      </c>
      <c r="C20" s="12">
        <f>IF(A20="","",G19)</f>
        <v/>
      </c>
      <c r="D20" s="12">
        <f>IF(A20="","",IF(8=$B$6,C20+E20,$B$10))</f>
        <v/>
      </c>
      <c r="E20" s="12">
        <f>IF(A20="","",ROUND(C20*$B$5/100/$B$9,2))</f>
        <v/>
      </c>
      <c r="F20" s="12">
        <f>IF(A20="","",D20-E20)</f>
        <v/>
      </c>
      <c r="G20" s="12">
        <f>IF(A20="","",C20-F20)</f>
        <v/>
      </c>
      <c r="H20" s="8" t="n"/>
    </row>
    <row r="21">
      <c r="A21">
        <f>IF(9&lt;=$B$6,9,"")</f>
        <v/>
      </c>
      <c r="B21" s="11">
        <f>IF(A21="","",IF($B$8="Semanal",$B$7+7*(9-1),IF($B$8="Quincenal",$B$7+15*(9-1),EDATE($B$7,9-1))))</f>
        <v/>
      </c>
      <c r="C21" s="12">
        <f>IF(A21="","",G20)</f>
        <v/>
      </c>
      <c r="D21" s="12">
        <f>IF(A21="","",IF(9=$B$6,C21+E21,$B$10))</f>
        <v/>
      </c>
      <c r="E21" s="12">
        <f>IF(A21="","",ROUND(C21*$B$5/100/$B$9,2))</f>
        <v/>
      </c>
      <c r="F21" s="12">
        <f>IF(A21="","",D21-E21)</f>
        <v/>
      </c>
      <c r="G21" s="12">
        <f>IF(A21="","",C21-F21)</f>
        <v/>
      </c>
      <c r="H21" s="8" t="n"/>
    </row>
    <row r="22">
      <c r="A22">
        <f>IF(10&lt;=$B$6,10,"")</f>
        <v/>
      </c>
      <c r="B22" s="11">
        <f>IF(A22="","",IF($B$8="Semanal",$B$7+7*(10-1),IF($B$8="Quincenal",$B$7+15*(10-1),EDATE($B$7,10-1))))</f>
        <v/>
      </c>
      <c r="C22" s="12">
        <f>IF(A22="","",G21)</f>
        <v/>
      </c>
      <c r="D22" s="12">
        <f>IF(A22="","",IF(10=$B$6,C22+E22,$B$10))</f>
        <v/>
      </c>
      <c r="E22" s="12">
        <f>IF(A22="","",ROUND(C22*$B$5/100/$B$9,2))</f>
        <v/>
      </c>
      <c r="F22" s="12">
        <f>IF(A22="","",D22-E22)</f>
        <v/>
      </c>
      <c r="G22" s="12">
        <f>IF(A22="","",C22-F22)</f>
        <v/>
      </c>
      <c r="H22" s="8" t="n"/>
    </row>
    <row r="23">
      <c r="A23">
        <f>IF(11&lt;=$B$6,11,"")</f>
        <v/>
      </c>
      <c r="B23" s="11">
        <f>IF(A23="","",IF($B$8="Semanal",$B$7+7*(11-1),IF($B$8="Quincenal",$B$7+15*(11-1),EDATE($B$7,11-1))))</f>
        <v/>
      </c>
      <c r="C23" s="12">
        <f>IF(A23="","",G22)</f>
        <v/>
      </c>
      <c r="D23" s="12">
        <f>IF(A23="","",IF(11=$B$6,C23+E23,$B$10))</f>
        <v/>
      </c>
      <c r="E23" s="12">
        <f>IF(A23="","",ROUND(C23*$B$5/100/$B$9,2))</f>
        <v/>
      </c>
      <c r="F23" s="12">
        <f>IF(A23="","",D23-E23)</f>
        <v/>
      </c>
      <c r="G23" s="12">
        <f>IF(A23="","",C23-F23)</f>
        <v/>
      </c>
      <c r="H23" s="8" t="n"/>
    </row>
    <row r="24">
      <c r="A24">
        <f>IF(12&lt;=$B$6,12,"")</f>
        <v/>
      </c>
      <c r="B24" s="11">
        <f>IF(A24="","",IF($B$8="Semanal",$B$7+7*(12-1),IF($B$8="Quincenal",$B$7+15*(12-1),EDATE($B$7,12-1))))</f>
        <v/>
      </c>
      <c r="C24" s="12">
        <f>IF(A24="","",G23)</f>
        <v/>
      </c>
      <c r="D24" s="12">
        <f>IF(A24="","",IF(12=$B$6,C24+E24,$B$10))</f>
        <v/>
      </c>
      <c r="E24" s="12">
        <f>IF(A24="","",ROUND(C24*$B$5/100/$B$9,2))</f>
        <v/>
      </c>
      <c r="F24" s="12">
        <f>IF(A24="","",D24-E24)</f>
        <v/>
      </c>
      <c r="G24" s="12">
        <f>IF(A24="","",C24-F24)</f>
        <v/>
      </c>
      <c r="H24" s="8" t="n"/>
    </row>
    <row r="25">
      <c r="A25">
        <f>IF(13&lt;=$B$6,13,"")</f>
        <v/>
      </c>
      <c r="B25" s="11">
        <f>IF(A25="","",IF($B$8="Semanal",$B$7+7*(13-1),IF($B$8="Quincenal",$B$7+15*(13-1),EDATE($B$7,13-1))))</f>
        <v/>
      </c>
      <c r="C25" s="12">
        <f>IF(A25="","",G24)</f>
        <v/>
      </c>
      <c r="D25" s="12">
        <f>IF(A25="","",IF(13=$B$6,C25+E25,$B$10))</f>
        <v/>
      </c>
      <c r="E25" s="12">
        <f>IF(A25="","",ROUND(C25*$B$5/100/$B$9,2))</f>
        <v/>
      </c>
      <c r="F25" s="12">
        <f>IF(A25="","",D25-E25)</f>
        <v/>
      </c>
      <c r="G25" s="12">
        <f>IF(A25="","",C25-F25)</f>
        <v/>
      </c>
      <c r="H25" s="8" t="n"/>
    </row>
    <row r="26">
      <c r="A26">
        <f>IF(14&lt;=$B$6,14,"")</f>
        <v/>
      </c>
      <c r="B26" s="11">
        <f>IF(A26="","",IF($B$8="Semanal",$B$7+7*(14-1),IF($B$8="Quincenal",$B$7+15*(14-1),EDATE($B$7,14-1))))</f>
        <v/>
      </c>
      <c r="C26" s="12">
        <f>IF(A26="","",G25)</f>
        <v/>
      </c>
      <c r="D26" s="12">
        <f>IF(A26="","",IF(14=$B$6,C26+E26,$B$10))</f>
        <v/>
      </c>
      <c r="E26" s="12">
        <f>IF(A26="","",ROUND(C26*$B$5/100/$B$9,2))</f>
        <v/>
      </c>
      <c r="F26" s="12">
        <f>IF(A26="","",D26-E26)</f>
        <v/>
      </c>
      <c r="G26" s="12">
        <f>IF(A26="","",C26-F26)</f>
        <v/>
      </c>
      <c r="H26" s="8" t="n"/>
    </row>
    <row r="27">
      <c r="A27">
        <f>IF(15&lt;=$B$6,15,"")</f>
        <v/>
      </c>
      <c r="B27" s="11">
        <f>IF(A27="","",IF($B$8="Semanal",$B$7+7*(15-1),IF($B$8="Quincenal",$B$7+15*(15-1),EDATE($B$7,15-1))))</f>
        <v/>
      </c>
      <c r="C27" s="12">
        <f>IF(A27="","",G26)</f>
        <v/>
      </c>
      <c r="D27" s="12">
        <f>IF(A27="","",IF(15=$B$6,C27+E27,$B$10))</f>
        <v/>
      </c>
      <c r="E27" s="12">
        <f>IF(A27="","",ROUND(C27*$B$5/100/$B$9,2))</f>
        <v/>
      </c>
      <c r="F27" s="12">
        <f>IF(A27="","",D27-E27)</f>
        <v/>
      </c>
      <c r="G27" s="12">
        <f>IF(A27="","",C27-F27)</f>
        <v/>
      </c>
      <c r="H27" s="8" t="n"/>
    </row>
    <row r="28">
      <c r="A28">
        <f>IF(16&lt;=$B$6,16,"")</f>
        <v/>
      </c>
      <c r="B28" s="11">
        <f>IF(A28="","",IF($B$8="Semanal",$B$7+7*(16-1),IF($B$8="Quincenal",$B$7+15*(16-1),EDATE($B$7,16-1))))</f>
        <v/>
      </c>
      <c r="C28" s="12">
        <f>IF(A28="","",G27)</f>
        <v/>
      </c>
      <c r="D28" s="12">
        <f>IF(A28="","",IF(16=$B$6,C28+E28,$B$10))</f>
        <v/>
      </c>
      <c r="E28" s="12">
        <f>IF(A28="","",ROUND(C28*$B$5/100/$B$9,2))</f>
        <v/>
      </c>
      <c r="F28" s="12">
        <f>IF(A28="","",D28-E28)</f>
        <v/>
      </c>
      <c r="G28" s="12">
        <f>IF(A28="","",C28-F28)</f>
        <v/>
      </c>
      <c r="H28" s="8" t="n"/>
    </row>
    <row r="29">
      <c r="A29">
        <f>IF(17&lt;=$B$6,17,"")</f>
        <v/>
      </c>
      <c r="B29" s="11">
        <f>IF(A29="","",IF($B$8="Semanal",$B$7+7*(17-1),IF($B$8="Quincenal",$B$7+15*(17-1),EDATE($B$7,17-1))))</f>
        <v/>
      </c>
      <c r="C29" s="12">
        <f>IF(A29="","",G28)</f>
        <v/>
      </c>
      <c r="D29" s="12">
        <f>IF(A29="","",IF(17=$B$6,C29+E29,$B$10))</f>
        <v/>
      </c>
      <c r="E29" s="12">
        <f>IF(A29="","",ROUND(C29*$B$5/100/$B$9,2))</f>
        <v/>
      </c>
      <c r="F29" s="12">
        <f>IF(A29="","",D29-E29)</f>
        <v/>
      </c>
      <c r="G29" s="12">
        <f>IF(A29="","",C29-F29)</f>
        <v/>
      </c>
      <c r="H29" s="8" t="n"/>
    </row>
    <row r="30">
      <c r="A30">
        <f>IF(18&lt;=$B$6,18,"")</f>
        <v/>
      </c>
      <c r="B30" s="11">
        <f>IF(A30="","",IF($B$8="Semanal",$B$7+7*(18-1),IF($B$8="Quincenal",$B$7+15*(18-1),EDATE($B$7,18-1))))</f>
        <v/>
      </c>
      <c r="C30" s="12">
        <f>IF(A30="","",G29)</f>
        <v/>
      </c>
      <c r="D30" s="12">
        <f>IF(A30="","",IF(18=$B$6,C30+E30,$B$10))</f>
        <v/>
      </c>
      <c r="E30" s="12">
        <f>IF(A30="","",ROUND(C30*$B$5/100/$B$9,2))</f>
        <v/>
      </c>
      <c r="F30" s="12">
        <f>IF(A30="","",D30-E30)</f>
        <v/>
      </c>
      <c r="G30" s="12">
        <f>IF(A30="","",C30-F30)</f>
        <v/>
      </c>
      <c r="H30" s="8" t="n"/>
    </row>
    <row r="31">
      <c r="A31">
        <f>IF(19&lt;=$B$6,19,"")</f>
        <v/>
      </c>
      <c r="B31" s="11">
        <f>IF(A31="","",IF($B$8="Semanal",$B$7+7*(19-1),IF($B$8="Quincenal",$B$7+15*(19-1),EDATE($B$7,19-1))))</f>
        <v/>
      </c>
      <c r="C31" s="12">
        <f>IF(A31="","",G30)</f>
        <v/>
      </c>
      <c r="D31" s="12">
        <f>IF(A31="","",IF(19=$B$6,C31+E31,$B$10))</f>
        <v/>
      </c>
      <c r="E31" s="12">
        <f>IF(A31="","",ROUND(C31*$B$5/100/$B$9,2))</f>
        <v/>
      </c>
      <c r="F31" s="12">
        <f>IF(A31="","",D31-E31)</f>
        <v/>
      </c>
      <c r="G31" s="12">
        <f>IF(A31="","",C31-F31)</f>
        <v/>
      </c>
      <c r="H31" s="8" t="n"/>
    </row>
    <row r="32">
      <c r="A32">
        <f>IF(20&lt;=$B$6,20,"")</f>
        <v/>
      </c>
      <c r="B32" s="11">
        <f>IF(A32="","",IF($B$8="Semanal",$B$7+7*(20-1),IF($B$8="Quincenal",$B$7+15*(20-1),EDATE($B$7,20-1))))</f>
        <v/>
      </c>
      <c r="C32" s="12">
        <f>IF(A32="","",G31)</f>
        <v/>
      </c>
      <c r="D32" s="12">
        <f>IF(A32="","",IF(20=$B$6,C32+E32,$B$10))</f>
        <v/>
      </c>
      <c r="E32" s="12">
        <f>IF(A32="","",ROUND(C32*$B$5/100/$B$9,2))</f>
        <v/>
      </c>
      <c r="F32" s="12">
        <f>IF(A32="","",D32-E32)</f>
        <v/>
      </c>
      <c r="G32" s="12">
        <f>IF(A32="","",C32-F32)</f>
        <v/>
      </c>
      <c r="H32" s="8" t="n"/>
    </row>
    <row r="33">
      <c r="A33">
        <f>IF(21&lt;=$B$6,21,"")</f>
        <v/>
      </c>
      <c r="B33" s="11">
        <f>IF(A33="","",IF($B$8="Semanal",$B$7+7*(21-1),IF($B$8="Quincenal",$B$7+15*(21-1),EDATE($B$7,21-1))))</f>
        <v/>
      </c>
      <c r="C33" s="12">
        <f>IF(A33="","",G32)</f>
        <v/>
      </c>
      <c r="D33" s="12">
        <f>IF(A33="","",IF(21=$B$6,C33+E33,$B$10))</f>
        <v/>
      </c>
      <c r="E33" s="12">
        <f>IF(A33="","",ROUND(C33*$B$5/100/$B$9,2))</f>
        <v/>
      </c>
      <c r="F33" s="12">
        <f>IF(A33="","",D33-E33)</f>
        <v/>
      </c>
      <c r="G33" s="12">
        <f>IF(A33="","",C33-F33)</f>
        <v/>
      </c>
      <c r="H33" s="8" t="n"/>
    </row>
    <row r="34">
      <c r="A34">
        <f>IF(22&lt;=$B$6,22,"")</f>
        <v/>
      </c>
      <c r="B34" s="11">
        <f>IF(A34="","",IF($B$8="Semanal",$B$7+7*(22-1),IF($B$8="Quincenal",$B$7+15*(22-1),EDATE($B$7,22-1))))</f>
        <v/>
      </c>
      <c r="C34" s="12">
        <f>IF(A34="","",G33)</f>
        <v/>
      </c>
      <c r="D34" s="12">
        <f>IF(A34="","",IF(22=$B$6,C34+E34,$B$10))</f>
        <v/>
      </c>
      <c r="E34" s="12">
        <f>IF(A34="","",ROUND(C34*$B$5/100/$B$9,2))</f>
        <v/>
      </c>
      <c r="F34" s="12">
        <f>IF(A34="","",D34-E34)</f>
        <v/>
      </c>
      <c r="G34" s="12">
        <f>IF(A34="","",C34-F34)</f>
        <v/>
      </c>
      <c r="H34" s="8" t="n"/>
    </row>
    <row r="35">
      <c r="A35">
        <f>IF(23&lt;=$B$6,23,"")</f>
        <v/>
      </c>
      <c r="B35" s="11">
        <f>IF(A35="","",IF($B$8="Semanal",$B$7+7*(23-1),IF($B$8="Quincenal",$B$7+15*(23-1),EDATE($B$7,23-1))))</f>
        <v/>
      </c>
      <c r="C35" s="12">
        <f>IF(A35="","",G34)</f>
        <v/>
      </c>
      <c r="D35" s="12">
        <f>IF(A35="","",IF(23=$B$6,C35+E35,$B$10))</f>
        <v/>
      </c>
      <c r="E35" s="12">
        <f>IF(A35="","",ROUND(C35*$B$5/100/$B$9,2))</f>
        <v/>
      </c>
      <c r="F35" s="12">
        <f>IF(A35="","",D35-E35)</f>
        <v/>
      </c>
      <c r="G35" s="12">
        <f>IF(A35="","",C35-F35)</f>
        <v/>
      </c>
      <c r="H35" s="8" t="n"/>
    </row>
    <row r="36">
      <c r="A36">
        <f>IF(24&lt;=$B$6,24,"")</f>
        <v/>
      </c>
      <c r="B36" s="11">
        <f>IF(A36="","",IF($B$8="Semanal",$B$7+7*(24-1),IF($B$8="Quincenal",$B$7+15*(24-1),EDATE($B$7,24-1))))</f>
        <v/>
      </c>
      <c r="C36" s="12">
        <f>IF(A36="","",G35)</f>
        <v/>
      </c>
      <c r="D36" s="12">
        <f>IF(A36="","",IF(24=$B$6,C36+E36,$B$10))</f>
        <v/>
      </c>
      <c r="E36" s="12">
        <f>IF(A36="","",ROUND(C36*$B$5/100/$B$9,2))</f>
        <v/>
      </c>
      <c r="F36" s="12">
        <f>IF(A36="","",D36-E36)</f>
        <v/>
      </c>
      <c r="G36" s="12">
        <f>IF(A36="","",C36-F36)</f>
        <v/>
      </c>
      <c r="H36" s="8" t="n"/>
    </row>
    <row r="37">
      <c r="A37">
        <f>IF(25&lt;=$B$6,25,"")</f>
        <v/>
      </c>
      <c r="B37" s="11">
        <f>IF(A37="","",IF($B$8="Semanal",$B$7+7*(25-1),IF($B$8="Quincenal",$B$7+15*(25-1),EDATE($B$7,25-1))))</f>
        <v/>
      </c>
      <c r="C37" s="12">
        <f>IF(A37="","",G36)</f>
        <v/>
      </c>
      <c r="D37" s="12">
        <f>IF(A37="","",IF(25=$B$6,C37+E37,$B$10))</f>
        <v/>
      </c>
      <c r="E37" s="12">
        <f>IF(A37="","",ROUND(C37*$B$5/100/$B$9,2))</f>
        <v/>
      </c>
      <c r="F37" s="12">
        <f>IF(A37="","",D37-E37)</f>
        <v/>
      </c>
      <c r="G37" s="12">
        <f>IF(A37="","",C37-F37)</f>
        <v/>
      </c>
      <c r="H37" s="8" t="n"/>
    </row>
    <row r="38">
      <c r="A38">
        <f>IF(26&lt;=$B$6,26,"")</f>
        <v/>
      </c>
      <c r="B38" s="11">
        <f>IF(A38="","",IF($B$8="Semanal",$B$7+7*(26-1),IF($B$8="Quincenal",$B$7+15*(26-1),EDATE($B$7,26-1))))</f>
        <v/>
      </c>
      <c r="C38" s="12">
        <f>IF(A38="","",G37)</f>
        <v/>
      </c>
      <c r="D38" s="12">
        <f>IF(A38="","",IF(26=$B$6,C38+E38,$B$10))</f>
        <v/>
      </c>
      <c r="E38" s="12">
        <f>IF(A38="","",ROUND(C38*$B$5/100/$B$9,2))</f>
        <v/>
      </c>
      <c r="F38" s="12">
        <f>IF(A38="","",D38-E38)</f>
        <v/>
      </c>
      <c r="G38" s="12">
        <f>IF(A38="","",C38-F38)</f>
        <v/>
      </c>
      <c r="H38" s="8" t="n"/>
    </row>
    <row r="39">
      <c r="A39">
        <f>IF(27&lt;=$B$6,27,"")</f>
        <v/>
      </c>
      <c r="B39" s="11">
        <f>IF(A39="","",IF($B$8="Semanal",$B$7+7*(27-1),IF($B$8="Quincenal",$B$7+15*(27-1),EDATE($B$7,27-1))))</f>
        <v/>
      </c>
      <c r="C39" s="12">
        <f>IF(A39="","",G38)</f>
        <v/>
      </c>
      <c r="D39" s="12">
        <f>IF(A39="","",IF(27=$B$6,C39+E39,$B$10))</f>
        <v/>
      </c>
      <c r="E39" s="12">
        <f>IF(A39="","",ROUND(C39*$B$5/100/$B$9,2))</f>
        <v/>
      </c>
      <c r="F39" s="12">
        <f>IF(A39="","",D39-E39)</f>
        <v/>
      </c>
      <c r="G39" s="12">
        <f>IF(A39="","",C39-F39)</f>
        <v/>
      </c>
      <c r="H39" s="8" t="n"/>
    </row>
    <row r="40">
      <c r="A40">
        <f>IF(28&lt;=$B$6,28,"")</f>
        <v/>
      </c>
      <c r="B40" s="11">
        <f>IF(A40="","",IF($B$8="Semanal",$B$7+7*(28-1),IF($B$8="Quincenal",$B$7+15*(28-1),EDATE($B$7,28-1))))</f>
        <v/>
      </c>
      <c r="C40" s="12">
        <f>IF(A40="","",G39)</f>
        <v/>
      </c>
      <c r="D40" s="12">
        <f>IF(A40="","",IF(28=$B$6,C40+E40,$B$10))</f>
        <v/>
      </c>
      <c r="E40" s="12">
        <f>IF(A40="","",ROUND(C40*$B$5/100/$B$9,2))</f>
        <v/>
      </c>
      <c r="F40" s="12">
        <f>IF(A40="","",D40-E40)</f>
        <v/>
      </c>
      <c r="G40" s="12">
        <f>IF(A40="","",C40-F40)</f>
        <v/>
      </c>
      <c r="H40" s="8" t="n"/>
    </row>
    <row r="41">
      <c r="A41">
        <f>IF(29&lt;=$B$6,29,"")</f>
        <v/>
      </c>
      <c r="B41" s="11">
        <f>IF(A41="","",IF($B$8="Semanal",$B$7+7*(29-1),IF($B$8="Quincenal",$B$7+15*(29-1),EDATE($B$7,29-1))))</f>
        <v/>
      </c>
      <c r="C41" s="12">
        <f>IF(A41="","",G40)</f>
        <v/>
      </c>
      <c r="D41" s="12">
        <f>IF(A41="","",IF(29=$B$6,C41+E41,$B$10))</f>
        <v/>
      </c>
      <c r="E41" s="12">
        <f>IF(A41="","",ROUND(C41*$B$5/100/$B$9,2))</f>
        <v/>
      </c>
      <c r="F41" s="12">
        <f>IF(A41="","",D41-E41)</f>
        <v/>
      </c>
      <c r="G41" s="12">
        <f>IF(A41="","",C41-F41)</f>
        <v/>
      </c>
      <c r="H41" s="8" t="n"/>
    </row>
    <row r="42">
      <c r="A42">
        <f>IF(30&lt;=$B$6,30,"")</f>
        <v/>
      </c>
      <c r="B42" s="11">
        <f>IF(A42="","",IF($B$8="Semanal",$B$7+7*(30-1),IF($B$8="Quincenal",$B$7+15*(30-1),EDATE($B$7,30-1))))</f>
        <v/>
      </c>
      <c r="C42" s="12">
        <f>IF(A42="","",G41)</f>
        <v/>
      </c>
      <c r="D42" s="12">
        <f>IF(A42="","",IF(30=$B$6,C42+E42,$B$10))</f>
        <v/>
      </c>
      <c r="E42" s="12">
        <f>IF(A42="","",ROUND(C42*$B$5/100/$B$9,2))</f>
        <v/>
      </c>
      <c r="F42" s="12">
        <f>IF(A42="","",D42-E42)</f>
        <v/>
      </c>
      <c r="G42" s="12">
        <f>IF(A42="","",C42-F42)</f>
        <v/>
      </c>
      <c r="H42" s="8" t="n"/>
    </row>
    <row r="43">
      <c r="A43">
        <f>IF(31&lt;=$B$6,31,"")</f>
        <v/>
      </c>
      <c r="B43" s="11">
        <f>IF(A43="","",IF($B$8="Semanal",$B$7+7*(31-1),IF($B$8="Quincenal",$B$7+15*(31-1),EDATE($B$7,31-1))))</f>
        <v/>
      </c>
      <c r="C43" s="12">
        <f>IF(A43="","",G42)</f>
        <v/>
      </c>
      <c r="D43" s="12">
        <f>IF(A43="","",IF(31=$B$6,C43+E43,$B$10))</f>
        <v/>
      </c>
      <c r="E43" s="12">
        <f>IF(A43="","",ROUND(C43*$B$5/100/$B$9,2))</f>
        <v/>
      </c>
      <c r="F43" s="12">
        <f>IF(A43="","",D43-E43)</f>
        <v/>
      </c>
      <c r="G43" s="12">
        <f>IF(A43="","",C43-F43)</f>
        <v/>
      </c>
      <c r="H43" s="8" t="n"/>
    </row>
    <row r="44">
      <c r="A44">
        <f>IF(32&lt;=$B$6,32,"")</f>
        <v/>
      </c>
      <c r="B44" s="11">
        <f>IF(A44="","",IF($B$8="Semanal",$B$7+7*(32-1),IF($B$8="Quincenal",$B$7+15*(32-1),EDATE($B$7,32-1))))</f>
        <v/>
      </c>
      <c r="C44" s="12">
        <f>IF(A44="","",G43)</f>
        <v/>
      </c>
      <c r="D44" s="12">
        <f>IF(A44="","",IF(32=$B$6,C44+E44,$B$10))</f>
        <v/>
      </c>
      <c r="E44" s="12">
        <f>IF(A44="","",ROUND(C44*$B$5/100/$B$9,2))</f>
        <v/>
      </c>
      <c r="F44" s="12">
        <f>IF(A44="","",D44-E44)</f>
        <v/>
      </c>
      <c r="G44" s="12">
        <f>IF(A44="","",C44-F44)</f>
        <v/>
      </c>
      <c r="H44" s="8" t="n"/>
    </row>
    <row r="45">
      <c r="A45">
        <f>IF(33&lt;=$B$6,33,"")</f>
        <v/>
      </c>
      <c r="B45" s="11">
        <f>IF(A45="","",IF($B$8="Semanal",$B$7+7*(33-1),IF($B$8="Quincenal",$B$7+15*(33-1),EDATE($B$7,33-1))))</f>
        <v/>
      </c>
      <c r="C45" s="12">
        <f>IF(A45="","",G44)</f>
        <v/>
      </c>
      <c r="D45" s="12">
        <f>IF(A45="","",IF(33=$B$6,C45+E45,$B$10))</f>
        <v/>
      </c>
      <c r="E45" s="12">
        <f>IF(A45="","",ROUND(C45*$B$5/100/$B$9,2))</f>
        <v/>
      </c>
      <c r="F45" s="12">
        <f>IF(A45="","",D45-E45)</f>
        <v/>
      </c>
      <c r="G45" s="12">
        <f>IF(A45="","",C45-F45)</f>
        <v/>
      </c>
      <c r="H45" s="8" t="n"/>
    </row>
    <row r="46">
      <c r="A46">
        <f>IF(34&lt;=$B$6,34,"")</f>
        <v/>
      </c>
      <c r="B46" s="11">
        <f>IF(A46="","",IF($B$8="Semanal",$B$7+7*(34-1),IF($B$8="Quincenal",$B$7+15*(34-1),EDATE($B$7,34-1))))</f>
        <v/>
      </c>
      <c r="C46" s="12">
        <f>IF(A46="","",G45)</f>
        <v/>
      </c>
      <c r="D46" s="12">
        <f>IF(A46="","",IF(34=$B$6,C46+E46,$B$10))</f>
        <v/>
      </c>
      <c r="E46" s="12">
        <f>IF(A46="","",ROUND(C46*$B$5/100/$B$9,2))</f>
        <v/>
      </c>
      <c r="F46" s="12">
        <f>IF(A46="","",D46-E46)</f>
        <v/>
      </c>
      <c r="G46" s="12">
        <f>IF(A46="","",C46-F46)</f>
        <v/>
      </c>
      <c r="H46" s="8" t="n"/>
    </row>
    <row r="47">
      <c r="A47">
        <f>IF(35&lt;=$B$6,35,"")</f>
        <v/>
      </c>
      <c r="B47" s="11">
        <f>IF(A47="","",IF($B$8="Semanal",$B$7+7*(35-1),IF($B$8="Quincenal",$B$7+15*(35-1),EDATE($B$7,35-1))))</f>
        <v/>
      </c>
      <c r="C47" s="12">
        <f>IF(A47="","",G46)</f>
        <v/>
      </c>
      <c r="D47" s="12">
        <f>IF(A47="","",IF(35=$B$6,C47+E47,$B$10))</f>
        <v/>
      </c>
      <c r="E47" s="12">
        <f>IF(A47="","",ROUND(C47*$B$5/100/$B$9,2))</f>
        <v/>
      </c>
      <c r="F47" s="12">
        <f>IF(A47="","",D47-E47)</f>
        <v/>
      </c>
      <c r="G47" s="12">
        <f>IF(A47="","",C47-F47)</f>
        <v/>
      </c>
      <c r="H47" s="8" t="n"/>
    </row>
    <row r="48">
      <c r="A48">
        <f>IF(36&lt;=$B$6,36,"")</f>
        <v/>
      </c>
      <c r="B48" s="11">
        <f>IF(A48="","",IF($B$8="Semanal",$B$7+7*(36-1),IF($B$8="Quincenal",$B$7+15*(36-1),EDATE($B$7,36-1))))</f>
        <v/>
      </c>
      <c r="C48" s="12">
        <f>IF(A48="","",G47)</f>
        <v/>
      </c>
      <c r="D48" s="12">
        <f>IF(A48="","",IF(36=$B$6,C48+E48,$B$10))</f>
        <v/>
      </c>
      <c r="E48" s="12">
        <f>IF(A48="","",ROUND(C48*$B$5/100/$B$9,2))</f>
        <v/>
      </c>
      <c r="F48" s="12">
        <f>IF(A48="","",D48-E48)</f>
        <v/>
      </c>
      <c r="G48" s="12">
        <f>IF(A48="","",C48-F48)</f>
        <v/>
      </c>
      <c r="H48" s="8" t="n"/>
    </row>
    <row r="49">
      <c r="A49">
        <f>IF(37&lt;=$B$6,37,"")</f>
        <v/>
      </c>
      <c r="B49" s="11">
        <f>IF(A49="","",IF($B$8="Semanal",$B$7+7*(37-1),IF($B$8="Quincenal",$B$7+15*(37-1),EDATE($B$7,37-1))))</f>
        <v/>
      </c>
      <c r="C49" s="12">
        <f>IF(A49="","",G48)</f>
        <v/>
      </c>
      <c r="D49" s="12">
        <f>IF(A49="","",IF(37=$B$6,C49+E49,$B$10))</f>
        <v/>
      </c>
      <c r="E49" s="12">
        <f>IF(A49="","",ROUND(C49*$B$5/100/$B$9,2))</f>
        <v/>
      </c>
      <c r="F49" s="12">
        <f>IF(A49="","",D49-E49)</f>
        <v/>
      </c>
      <c r="G49" s="12">
        <f>IF(A49="","",C49-F49)</f>
        <v/>
      </c>
      <c r="H49" s="8" t="n"/>
    </row>
    <row r="50">
      <c r="A50">
        <f>IF(38&lt;=$B$6,38,"")</f>
        <v/>
      </c>
      <c r="B50" s="11">
        <f>IF(A50="","",IF($B$8="Semanal",$B$7+7*(38-1),IF($B$8="Quincenal",$B$7+15*(38-1),EDATE($B$7,38-1))))</f>
        <v/>
      </c>
      <c r="C50" s="12">
        <f>IF(A50="","",G49)</f>
        <v/>
      </c>
      <c r="D50" s="12">
        <f>IF(A50="","",IF(38=$B$6,C50+E50,$B$10))</f>
        <v/>
      </c>
      <c r="E50" s="12">
        <f>IF(A50="","",ROUND(C50*$B$5/100/$B$9,2))</f>
        <v/>
      </c>
      <c r="F50" s="12">
        <f>IF(A50="","",D50-E50)</f>
        <v/>
      </c>
      <c r="G50" s="12">
        <f>IF(A50="","",C50-F50)</f>
        <v/>
      </c>
      <c r="H50" s="8" t="n"/>
    </row>
    <row r="51">
      <c r="A51">
        <f>IF(39&lt;=$B$6,39,"")</f>
        <v/>
      </c>
      <c r="B51" s="11">
        <f>IF(A51="","",IF($B$8="Semanal",$B$7+7*(39-1),IF($B$8="Quincenal",$B$7+15*(39-1),EDATE($B$7,39-1))))</f>
        <v/>
      </c>
      <c r="C51" s="12">
        <f>IF(A51="","",G50)</f>
        <v/>
      </c>
      <c r="D51" s="12">
        <f>IF(A51="","",IF(39=$B$6,C51+E51,$B$10))</f>
        <v/>
      </c>
      <c r="E51" s="12">
        <f>IF(A51="","",ROUND(C51*$B$5/100/$B$9,2))</f>
        <v/>
      </c>
      <c r="F51" s="12">
        <f>IF(A51="","",D51-E51)</f>
        <v/>
      </c>
      <c r="G51" s="12">
        <f>IF(A51="","",C51-F51)</f>
        <v/>
      </c>
      <c r="H51" s="8" t="n"/>
    </row>
    <row r="52">
      <c r="A52">
        <f>IF(40&lt;=$B$6,40,"")</f>
        <v/>
      </c>
      <c r="B52" s="11">
        <f>IF(A52="","",IF($B$8="Semanal",$B$7+7*(40-1),IF($B$8="Quincenal",$B$7+15*(40-1),EDATE($B$7,40-1))))</f>
        <v/>
      </c>
      <c r="C52" s="12">
        <f>IF(A52="","",G51)</f>
        <v/>
      </c>
      <c r="D52" s="12">
        <f>IF(A52="","",IF(40=$B$6,C52+E52,$B$10))</f>
        <v/>
      </c>
      <c r="E52" s="12">
        <f>IF(A52="","",ROUND(C52*$B$5/100/$B$9,2))</f>
        <v/>
      </c>
      <c r="F52" s="12">
        <f>IF(A52="","",D52-E52)</f>
        <v/>
      </c>
      <c r="G52" s="12">
        <f>IF(A52="","",C52-F52)</f>
        <v/>
      </c>
      <c r="H52" s="8" t="n"/>
    </row>
    <row r="53">
      <c r="A53">
        <f>IF(41&lt;=$B$6,41,"")</f>
        <v/>
      </c>
      <c r="B53" s="11">
        <f>IF(A53="","",IF($B$8="Semanal",$B$7+7*(41-1),IF($B$8="Quincenal",$B$7+15*(41-1),EDATE($B$7,41-1))))</f>
        <v/>
      </c>
      <c r="C53" s="12">
        <f>IF(A53="","",G52)</f>
        <v/>
      </c>
      <c r="D53" s="12">
        <f>IF(A53="","",IF(41=$B$6,C53+E53,$B$10))</f>
        <v/>
      </c>
      <c r="E53" s="12">
        <f>IF(A53="","",ROUND(C53*$B$5/100/$B$9,2))</f>
        <v/>
      </c>
      <c r="F53" s="12">
        <f>IF(A53="","",D53-E53)</f>
        <v/>
      </c>
      <c r="G53" s="12">
        <f>IF(A53="","",C53-F53)</f>
        <v/>
      </c>
      <c r="H53" s="8" t="n"/>
    </row>
    <row r="54">
      <c r="A54">
        <f>IF(42&lt;=$B$6,42,"")</f>
        <v/>
      </c>
      <c r="B54" s="11">
        <f>IF(A54="","",IF($B$8="Semanal",$B$7+7*(42-1),IF($B$8="Quincenal",$B$7+15*(42-1),EDATE($B$7,42-1))))</f>
        <v/>
      </c>
      <c r="C54" s="12">
        <f>IF(A54="","",G53)</f>
        <v/>
      </c>
      <c r="D54" s="12">
        <f>IF(A54="","",IF(42=$B$6,C54+E54,$B$10))</f>
        <v/>
      </c>
      <c r="E54" s="12">
        <f>IF(A54="","",ROUND(C54*$B$5/100/$B$9,2))</f>
        <v/>
      </c>
      <c r="F54" s="12">
        <f>IF(A54="","",D54-E54)</f>
        <v/>
      </c>
      <c r="G54" s="12">
        <f>IF(A54="","",C54-F54)</f>
        <v/>
      </c>
      <c r="H54" s="8" t="n"/>
    </row>
    <row r="55">
      <c r="A55">
        <f>IF(43&lt;=$B$6,43,"")</f>
        <v/>
      </c>
      <c r="B55" s="11">
        <f>IF(A55="","",IF($B$8="Semanal",$B$7+7*(43-1),IF($B$8="Quincenal",$B$7+15*(43-1),EDATE($B$7,43-1))))</f>
        <v/>
      </c>
      <c r="C55" s="12">
        <f>IF(A55="","",G54)</f>
        <v/>
      </c>
      <c r="D55" s="12">
        <f>IF(A55="","",IF(43=$B$6,C55+E55,$B$10))</f>
        <v/>
      </c>
      <c r="E55" s="12">
        <f>IF(A55="","",ROUND(C55*$B$5/100/$B$9,2))</f>
        <v/>
      </c>
      <c r="F55" s="12">
        <f>IF(A55="","",D55-E55)</f>
        <v/>
      </c>
      <c r="G55" s="12">
        <f>IF(A55="","",C55-F55)</f>
        <v/>
      </c>
      <c r="H55" s="8" t="n"/>
    </row>
    <row r="56">
      <c r="A56">
        <f>IF(44&lt;=$B$6,44,"")</f>
        <v/>
      </c>
      <c r="B56" s="11">
        <f>IF(A56="","",IF($B$8="Semanal",$B$7+7*(44-1),IF($B$8="Quincenal",$B$7+15*(44-1),EDATE($B$7,44-1))))</f>
        <v/>
      </c>
      <c r="C56" s="12">
        <f>IF(A56="","",G55)</f>
        <v/>
      </c>
      <c r="D56" s="12">
        <f>IF(A56="","",IF(44=$B$6,C56+E56,$B$10))</f>
        <v/>
      </c>
      <c r="E56" s="12">
        <f>IF(A56="","",ROUND(C56*$B$5/100/$B$9,2))</f>
        <v/>
      </c>
      <c r="F56" s="12">
        <f>IF(A56="","",D56-E56)</f>
        <v/>
      </c>
      <c r="G56" s="12">
        <f>IF(A56="","",C56-F56)</f>
        <v/>
      </c>
      <c r="H56" s="8" t="n"/>
    </row>
    <row r="57">
      <c r="A57">
        <f>IF(45&lt;=$B$6,45,"")</f>
        <v/>
      </c>
      <c r="B57" s="11">
        <f>IF(A57="","",IF($B$8="Semanal",$B$7+7*(45-1),IF($B$8="Quincenal",$B$7+15*(45-1),EDATE($B$7,45-1))))</f>
        <v/>
      </c>
      <c r="C57" s="12">
        <f>IF(A57="","",G56)</f>
        <v/>
      </c>
      <c r="D57" s="12">
        <f>IF(A57="","",IF(45=$B$6,C57+E57,$B$10))</f>
        <v/>
      </c>
      <c r="E57" s="12">
        <f>IF(A57="","",ROUND(C57*$B$5/100/$B$9,2))</f>
        <v/>
      </c>
      <c r="F57" s="12">
        <f>IF(A57="","",D57-E57)</f>
        <v/>
      </c>
      <c r="G57" s="12">
        <f>IF(A57="","",C57-F57)</f>
        <v/>
      </c>
      <c r="H57" s="8" t="n"/>
    </row>
    <row r="58">
      <c r="A58">
        <f>IF(46&lt;=$B$6,46,"")</f>
        <v/>
      </c>
      <c r="B58" s="11">
        <f>IF(A58="","",IF($B$8="Semanal",$B$7+7*(46-1),IF($B$8="Quincenal",$B$7+15*(46-1),EDATE($B$7,46-1))))</f>
        <v/>
      </c>
      <c r="C58" s="12">
        <f>IF(A58="","",G57)</f>
        <v/>
      </c>
      <c r="D58" s="12">
        <f>IF(A58="","",IF(46=$B$6,C58+E58,$B$10))</f>
        <v/>
      </c>
      <c r="E58" s="12">
        <f>IF(A58="","",ROUND(C58*$B$5/100/$B$9,2))</f>
        <v/>
      </c>
      <c r="F58" s="12">
        <f>IF(A58="","",D58-E58)</f>
        <v/>
      </c>
      <c r="G58" s="12">
        <f>IF(A58="","",C58-F58)</f>
        <v/>
      </c>
      <c r="H58" s="8" t="n"/>
    </row>
    <row r="59">
      <c r="A59">
        <f>IF(47&lt;=$B$6,47,"")</f>
        <v/>
      </c>
      <c r="B59" s="11">
        <f>IF(A59="","",IF($B$8="Semanal",$B$7+7*(47-1),IF($B$8="Quincenal",$B$7+15*(47-1),EDATE($B$7,47-1))))</f>
        <v/>
      </c>
      <c r="C59" s="12">
        <f>IF(A59="","",G58)</f>
        <v/>
      </c>
      <c r="D59" s="12">
        <f>IF(A59="","",IF(47=$B$6,C59+E59,$B$10))</f>
        <v/>
      </c>
      <c r="E59" s="12">
        <f>IF(A59="","",ROUND(C59*$B$5/100/$B$9,2))</f>
        <v/>
      </c>
      <c r="F59" s="12">
        <f>IF(A59="","",D59-E59)</f>
        <v/>
      </c>
      <c r="G59" s="12">
        <f>IF(A59="","",C59-F59)</f>
        <v/>
      </c>
      <c r="H59" s="8" t="n"/>
    </row>
    <row r="60">
      <c r="A60">
        <f>IF(48&lt;=$B$6,48,"")</f>
        <v/>
      </c>
      <c r="B60" s="11">
        <f>IF(A60="","",IF($B$8="Semanal",$B$7+7*(48-1),IF($B$8="Quincenal",$B$7+15*(48-1),EDATE($B$7,48-1))))</f>
        <v/>
      </c>
      <c r="C60" s="12">
        <f>IF(A60="","",G59)</f>
        <v/>
      </c>
      <c r="D60" s="12">
        <f>IF(A60="","",IF(48=$B$6,C60+E60,$B$10))</f>
        <v/>
      </c>
      <c r="E60" s="12">
        <f>IF(A60="","",ROUND(C60*$B$5/100/$B$9,2))</f>
        <v/>
      </c>
      <c r="F60" s="12">
        <f>IF(A60="","",D60-E60)</f>
        <v/>
      </c>
      <c r="G60" s="12">
        <f>IF(A60="","",C60-F60)</f>
        <v/>
      </c>
      <c r="H60" s="8" t="n"/>
    </row>
    <row r="61">
      <c r="A61">
        <f>IF(49&lt;=$B$6,49,"")</f>
        <v/>
      </c>
      <c r="B61" s="11">
        <f>IF(A61="","",IF($B$8="Semanal",$B$7+7*(49-1),IF($B$8="Quincenal",$B$7+15*(49-1),EDATE($B$7,49-1))))</f>
        <v/>
      </c>
      <c r="C61" s="12">
        <f>IF(A61="","",G60)</f>
        <v/>
      </c>
      <c r="D61" s="12">
        <f>IF(A61="","",IF(49=$B$6,C61+E61,$B$10))</f>
        <v/>
      </c>
      <c r="E61" s="12">
        <f>IF(A61="","",ROUND(C61*$B$5/100/$B$9,2))</f>
        <v/>
      </c>
      <c r="F61" s="12">
        <f>IF(A61="","",D61-E61)</f>
        <v/>
      </c>
      <c r="G61" s="12">
        <f>IF(A61="","",C61-F61)</f>
        <v/>
      </c>
      <c r="H61" s="8" t="n"/>
    </row>
    <row r="62">
      <c r="A62">
        <f>IF(50&lt;=$B$6,50,"")</f>
        <v/>
      </c>
      <c r="B62" s="11">
        <f>IF(A62="","",IF($B$8="Semanal",$B$7+7*(50-1),IF($B$8="Quincenal",$B$7+15*(50-1),EDATE($B$7,50-1))))</f>
        <v/>
      </c>
      <c r="C62" s="12">
        <f>IF(A62="","",G61)</f>
        <v/>
      </c>
      <c r="D62" s="12">
        <f>IF(A62="","",IF(50=$B$6,C62+E62,$B$10))</f>
        <v/>
      </c>
      <c r="E62" s="12">
        <f>IF(A62="","",ROUND(C62*$B$5/100/$B$9,2))</f>
        <v/>
      </c>
      <c r="F62" s="12">
        <f>IF(A62="","",D62-E62)</f>
        <v/>
      </c>
      <c r="G62" s="12">
        <f>IF(A62="","",C62-F62)</f>
        <v/>
      </c>
      <c r="H62" s="8" t="n"/>
    </row>
    <row r="63">
      <c r="A63">
        <f>IF(51&lt;=$B$6,51,"")</f>
        <v/>
      </c>
      <c r="B63" s="11">
        <f>IF(A63="","",IF($B$8="Semanal",$B$7+7*(51-1),IF($B$8="Quincenal",$B$7+15*(51-1),EDATE($B$7,51-1))))</f>
        <v/>
      </c>
      <c r="C63" s="12">
        <f>IF(A63="","",G62)</f>
        <v/>
      </c>
      <c r="D63" s="12">
        <f>IF(A63="","",IF(51=$B$6,C63+E63,$B$10))</f>
        <v/>
      </c>
      <c r="E63" s="12">
        <f>IF(A63="","",ROUND(C63*$B$5/100/$B$9,2))</f>
        <v/>
      </c>
      <c r="F63" s="12">
        <f>IF(A63="","",D63-E63)</f>
        <v/>
      </c>
      <c r="G63" s="12">
        <f>IF(A63="","",C63-F63)</f>
        <v/>
      </c>
      <c r="H63" s="8" t="n"/>
    </row>
    <row r="64">
      <c r="A64">
        <f>IF(52&lt;=$B$6,52,"")</f>
        <v/>
      </c>
      <c r="B64" s="11">
        <f>IF(A64="","",IF($B$8="Semanal",$B$7+7*(52-1),IF($B$8="Quincenal",$B$7+15*(52-1),EDATE($B$7,52-1))))</f>
        <v/>
      </c>
      <c r="C64" s="12">
        <f>IF(A64="","",G63)</f>
        <v/>
      </c>
      <c r="D64" s="12">
        <f>IF(A64="","",IF(52=$B$6,C64+E64,$B$10))</f>
        <v/>
      </c>
      <c r="E64" s="12">
        <f>IF(A64="","",ROUND(C64*$B$5/100/$B$9,2))</f>
        <v/>
      </c>
      <c r="F64" s="12">
        <f>IF(A64="","",D64-E64)</f>
        <v/>
      </c>
      <c r="G64" s="12">
        <f>IF(A64="","",C64-F64)</f>
        <v/>
      </c>
      <c r="H64" s="8" t="n"/>
    </row>
    <row r="65">
      <c r="A65">
        <f>IF(53&lt;=$B$6,53,"")</f>
        <v/>
      </c>
      <c r="B65" s="11">
        <f>IF(A65="","",IF($B$8="Semanal",$B$7+7*(53-1),IF($B$8="Quincenal",$B$7+15*(53-1),EDATE($B$7,53-1))))</f>
        <v/>
      </c>
      <c r="C65" s="12">
        <f>IF(A65="","",G64)</f>
        <v/>
      </c>
      <c r="D65" s="12">
        <f>IF(A65="","",IF(53=$B$6,C65+E65,$B$10))</f>
        <v/>
      </c>
      <c r="E65" s="12">
        <f>IF(A65="","",ROUND(C65*$B$5/100/$B$9,2))</f>
        <v/>
      </c>
      <c r="F65" s="12">
        <f>IF(A65="","",D65-E65)</f>
        <v/>
      </c>
      <c r="G65" s="12">
        <f>IF(A65="","",C65-F65)</f>
        <v/>
      </c>
      <c r="H65" s="8" t="n"/>
    </row>
    <row r="66">
      <c r="A66">
        <f>IF(54&lt;=$B$6,54,"")</f>
        <v/>
      </c>
      <c r="B66" s="11">
        <f>IF(A66="","",IF($B$8="Semanal",$B$7+7*(54-1),IF($B$8="Quincenal",$B$7+15*(54-1),EDATE($B$7,54-1))))</f>
        <v/>
      </c>
      <c r="C66" s="12">
        <f>IF(A66="","",G65)</f>
        <v/>
      </c>
      <c r="D66" s="12">
        <f>IF(A66="","",IF(54=$B$6,C66+E66,$B$10))</f>
        <v/>
      </c>
      <c r="E66" s="12">
        <f>IF(A66="","",ROUND(C66*$B$5/100/$B$9,2))</f>
        <v/>
      </c>
      <c r="F66" s="12">
        <f>IF(A66="","",D66-E66)</f>
        <v/>
      </c>
      <c r="G66" s="12">
        <f>IF(A66="","",C66-F66)</f>
        <v/>
      </c>
      <c r="H66" s="8" t="n"/>
    </row>
    <row r="67">
      <c r="A67">
        <f>IF(55&lt;=$B$6,55,"")</f>
        <v/>
      </c>
      <c r="B67" s="11">
        <f>IF(A67="","",IF($B$8="Semanal",$B$7+7*(55-1),IF($B$8="Quincenal",$B$7+15*(55-1),EDATE($B$7,55-1))))</f>
        <v/>
      </c>
      <c r="C67" s="12">
        <f>IF(A67="","",G66)</f>
        <v/>
      </c>
      <c r="D67" s="12">
        <f>IF(A67="","",IF(55=$B$6,C67+E67,$B$10))</f>
        <v/>
      </c>
      <c r="E67" s="12">
        <f>IF(A67="","",ROUND(C67*$B$5/100/$B$9,2))</f>
        <v/>
      </c>
      <c r="F67" s="12">
        <f>IF(A67="","",D67-E67)</f>
        <v/>
      </c>
      <c r="G67" s="12">
        <f>IF(A67="","",C67-F67)</f>
        <v/>
      </c>
      <c r="H67" s="8" t="n"/>
    </row>
    <row r="68">
      <c r="A68">
        <f>IF(56&lt;=$B$6,56,"")</f>
        <v/>
      </c>
      <c r="B68" s="11">
        <f>IF(A68="","",IF($B$8="Semanal",$B$7+7*(56-1),IF($B$8="Quincenal",$B$7+15*(56-1),EDATE($B$7,56-1))))</f>
        <v/>
      </c>
      <c r="C68" s="12">
        <f>IF(A68="","",G67)</f>
        <v/>
      </c>
      <c r="D68" s="12">
        <f>IF(A68="","",IF(56=$B$6,C68+E68,$B$10))</f>
        <v/>
      </c>
      <c r="E68" s="12">
        <f>IF(A68="","",ROUND(C68*$B$5/100/$B$9,2))</f>
        <v/>
      </c>
      <c r="F68" s="12">
        <f>IF(A68="","",D68-E68)</f>
        <v/>
      </c>
      <c r="G68" s="12">
        <f>IF(A68="","",C68-F68)</f>
        <v/>
      </c>
      <c r="H68" s="8" t="n"/>
    </row>
    <row r="69">
      <c r="A69">
        <f>IF(57&lt;=$B$6,57,"")</f>
        <v/>
      </c>
      <c r="B69" s="11">
        <f>IF(A69="","",IF($B$8="Semanal",$B$7+7*(57-1),IF($B$8="Quincenal",$B$7+15*(57-1),EDATE($B$7,57-1))))</f>
        <v/>
      </c>
      <c r="C69" s="12">
        <f>IF(A69="","",G68)</f>
        <v/>
      </c>
      <c r="D69" s="12">
        <f>IF(A69="","",IF(57=$B$6,C69+E69,$B$10))</f>
        <v/>
      </c>
      <c r="E69" s="12">
        <f>IF(A69="","",ROUND(C69*$B$5/100/$B$9,2))</f>
        <v/>
      </c>
      <c r="F69" s="12">
        <f>IF(A69="","",D69-E69)</f>
        <v/>
      </c>
      <c r="G69" s="12">
        <f>IF(A69="","",C69-F69)</f>
        <v/>
      </c>
      <c r="H69" s="8" t="n"/>
    </row>
    <row r="70">
      <c r="A70">
        <f>IF(58&lt;=$B$6,58,"")</f>
        <v/>
      </c>
      <c r="B70" s="11">
        <f>IF(A70="","",IF($B$8="Semanal",$B$7+7*(58-1),IF($B$8="Quincenal",$B$7+15*(58-1),EDATE($B$7,58-1))))</f>
        <v/>
      </c>
      <c r="C70" s="12">
        <f>IF(A70="","",G69)</f>
        <v/>
      </c>
      <c r="D70" s="12">
        <f>IF(A70="","",IF(58=$B$6,C70+E70,$B$10))</f>
        <v/>
      </c>
      <c r="E70" s="12">
        <f>IF(A70="","",ROUND(C70*$B$5/100/$B$9,2))</f>
        <v/>
      </c>
      <c r="F70" s="12">
        <f>IF(A70="","",D70-E70)</f>
        <v/>
      </c>
      <c r="G70" s="12">
        <f>IF(A70="","",C70-F70)</f>
        <v/>
      </c>
      <c r="H70" s="8" t="n"/>
    </row>
    <row r="71">
      <c r="A71">
        <f>IF(59&lt;=$B$6,59,"")</f>
        <v/>
      </c>
      <c r="B71" s="11">
        <f>IF(A71="","",IF($B$8="Semanal",$B$7+7*(59-1),IF($B$8="Quincenal",$B$7+15*(59-1),EDATE($B$7,59-1))))</f>
        <v/>
      </c>
      <c r="C71" s="12">
        <f>IF(A71="","",G70)</f>
        <v/>
      </c>
      <c r="D71" s="12">
        <f>IF(A71="","",IF(59=$B$6,C71+E71,$B$10))</f>
        <v/>
      </c>
      <c r="E71" s="12">
        <f>IF(A71="","",ROUND(C71*$B$5/100/$B$9,2))</f>
        <v/>
      </c>
      <c r="F71" s="12">
        <f>IF(A71="","",D71-E71)</f>
        <v/>
      </c>
      <c r="G71" s="12">
        <f>IF(A71="","",C71-F71)</f>
        <v/>
      </c>
      <c r="H71" s="8" t="n"/>
    </row>
    <row r="72">
      <c r="A72">
        <f>IF(60&lt;=$B$6,60,"")</f>
        <v/>
      </c>
      <c r="B72" s="11">
        <f>IF(A72="","",IF($B$8="Semanal",$B$7+7*(60-1),IF($B$8="Quincenal",$B$7+15*(60-1),EDATE($B$7,60-1))))</f>
        <v/>
      </c>
      <c r="C72" s="12">
        <f>IF(A72="","",G71)</f>
        <v/>
      </c>
      <c r="D72" s="12">
        <f>IF(A72="","",IF(60=$B$6,C72+E72,$B$10))</f>
        <v/>
      </c>
      <c r="E72" s="12">
        <f>IF(A72="","",ROUND(C72*$B$5/100/$B$9,2))</f>
        <v/>
      </c>
      <c r="F72" s="12">
        <f>IF(A72="","",D72-E72)</f>
        <v/>
      </c>
      <c r="G72" s="12">
        <f>IF(A72="","",C72-F72)</f>
        <v/>
      </c>
      <c r="H72" s="8" t="n"/>
    </row>
    <row r="74">
      <c r="B74" s="13" t="inlineStr">
        <is>
          <t>Total de intereses</t>
        </is>
      </c>
      <c r="E74" s="9">
        <f>SUM(E13:E72)</f>
        <v/>
      </c>
    </row>
  </sheetData>
  <dataValidations count="2">
    <dataValidation sqref="B8" showDropDown="0" showInputMessage="0" showErrorMessage="0" allowBlank="0" type="list">
      <formula1>"Semanal,Quincenal,Mensual"</formula1>
    </dataValidation>
    <dataValidation sqref="H13:H72" showDropDown="0" showInputMessage="0" showErrorMessage="0" allowBlank="1" type="list">
      <formula1>"sí,no,parcial"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4" t="inlineStr">
        <is>
          <t>Cómo se usa esta hoja</t>
        </is>
      </c>
    </row>
    <row r="3" ht="15" customHeight="1">
      <c r="A3" s="15" t="inlineStr">
        <is>
          <t>Es el método de pago fijo (el que en finanzas llaman francés): cada pago es igual y lo que</t>
        </is>
      </c>
    </row>
    <row r="4" ht="15" customHeight="1">
      <c r="A4" s="15" t="inlineStr">
        <is>
          <t>cambia es cuánto de ese pago es interés y cuánto baja la deuda.</t>
        </is>
      </c>
    </row>
    <row r="5" ht="15" customHeight="1">
      <c r="A5" s="15" t="inlineStr"/>
    </row>
    <row r="6" ht="15" customHeight="1">
      <c r="A6" s="15" t="inlineStr">
        <is>
          <t>El interés de cada periodo se calcula sobre lo que falta por pagar (saldo insoluto), con la</t>
        </is>
      </c>
    </row>
    <row r="7" ht="15" customHeight="1">
      <c r="A7" s="15" t="inlineStr">
        <is>
          <t>tasa anual dividida entre los pagos del año: 52 si es semanal, 24 si es quincenal y 12 si es</t>
        </is>
      </c>
    </row>
    <row r="8" ht="15" customHeight="1">
      <c r="A8" s="15" t="inlineStr">
        <is>
          <t>mensual. La quincena se toma de 15 días. La última fila ajusta los centavos.</t>
        </is>
      </c>
    </row>
    <row r="9" ht="15" customHeight="1">
      <c r="A9" s="15" t="inlineStr"/>
    </row>
    <row r="10" ht="15" customHeight="1">
      <c r="A10" s="15" t="inlineStr">
        <is>
          <t>Llega a 60 pagos. Si el plazo es menor, las filas de más se quedan en blanco.</t>
        </is>
      </c>
    </row>
    <row r="11" ht="15" customHeight="1">
      <c r="A11" s="15" t="inlineStr"/>
    </row>
    <row r="12" ht="15" customHeight="1">
      <c r="A12" s="15" t="inlineStr">
        <is>
          <t>La tabla no incluye IVA sobre intereses, comisiones ni seguros. Si el crédito los cobra, el</t>
        </is>
      </c>
    </row>
    <row r="13" ht="15" customHeight="1">
      <c r="A13" s="15" t="inlineStr">
        <is>
          <t>pago real es mayor al que sale aquí.</t>
        </is>
      </c>
    </row>
    <row r="14" ht="15" customHeight="1">
      <c r="A14" s="15" t="inlineStr"/>
    </row>
    <row r="15" ht="15" customHeight="1">
      <c r="A15" s="15" t="inlineStr">
        <is>
          <t>La columna ¿Pagado? es la que se revisa en cada fecha: la fila que dice «no» es a quien</t>
        </is>
      </c>
    </row>
    <row r="16" ht="15" customHeight="1">
      <c r="A16" s="15" t="inlineStr">
        <is>
          <t>hay que mandarle el recordatorio. Eso es lo que Makatea hace solo.</t>
        </is>
      </c>
    </row>
    <row r="18">
      <c r="A18" s="16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2026-09-26T06:22:38Z</dcterms:created>
  <dcterms:modified xmlns:dcterms="http://purl.org/dc/terms/" xmlns:xsi="http://www.w3.org/2001/XMLSchema-instance" xsi:type="dcterms:W3CDTF">2026-09-26T06:22:38Z</dcterms:modified>
</cp:coreProperties>
</file>